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ettings" sheetId="1" r:id="rId3"/>
    <sheet state="hidden" name="Budget" sheetId="2" r:id="rId4"/>
    <sheet state="hidden" name="Interest" sheetId="3" r:id="rId5"/>
    <sheet state="hidden" name="Account" sheetId="4" r:id="rId6"/>
    <sheet state="hidden" name="Result" sheetId="5" r:id="rId7"/>
    <sheet state="hidden" name="Dividend" sheetId="6" r:id="rId8"/>
    <sheet state="visible" name="Dashboard" sheetId="7" r:id="rId9"/>
    <sheet state="visible" name="Investment" sheetId="8" r:id="rId10"/>
    <sheet state="visible" name="Historic" sheetId="9" r:id="rId11"/>
    <sheet state="visible" name="Evolution" sheetId="10" r:id="rId12"/>
    <sheet state="visible" name="Selection" sheetId="11" r:id="rId13"/>
    <sheet state="visible" name="Expenses" sheetId="12" r:id="rId14"/>
    <sheet state="visible" name="ExpensesHistoric" sheetId="13" r:id="rId15"/>
    <sheet state="visible" name="Allocation" sheetId="14" r:id="rId16"/>
    <sheet state="visible" name="AllocationHistoric" sheetId="15" r:id="rId17"/>
    <sheet state="visible" name="Client" sheetId="16" r:id="rId18"/>
    <sheet state="hidden" name="Boubou" sheetId="20" r:id="rId19"/>
  </sheets>
  <definedNames>
    <definedName hidden="1" localSheetId="4" name="_xlnm._FilterDatabase">Result!$A$1:$H$510</definedName>
    <definedName hidden="1" localSheetId="5" name="_xlnm._FilterDatabase">Dividend!$A$1:$G$72</definedName>
    <definedName hidden="1" localSheetId="8" name="_xlnm._FilterDatabase">Historic!$A$1:$P$499</definedName>
    <definedName hidden="1" localSheetId="12" name="_xlnm._FilterDatabase">ExpensesHistoric!$A$1:$E$260</definedName>
    <definedName hidden="1" localSheetId="10" name="_xlnm._FilterDatabase">Selection!$A$1:$AO$36</definedName>
    <definedName hidden="1" localSheetId="3" name="_xlnm._FilterDatabase">Account!$A$1:$AJ$575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Total portefeuille</t>
      </text>
    </comment>
    <comment authorId="0" ref="B7">
      <text>
        <t xml:space="preserve">Valeur des titres</t>
      </text>
    </comment>
    <comment authorId="0" ref="C7">
      <text>
        <t xml:space="preserve">Fond Monétaires EUR</t>
      </text>
    </comment>
    <comment authorId="0" ref="D7">
      <text>
        <t xml:space="preserve">Variation journalière</t>
      </text>
    </comment>
    <comment authorId="0" ref="E7">
      <text>
        <t xml:space="preserve">Variation cumulée</t>
      </text>
    </comment>
    <comment authorId="0" ref="F7">
      <text>
        <t xml:space="preserve">Espace libre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9">
      <text>
        <t xml:space="preserve">Sommes dûes à / par des tiers</t>
      </text>
    </comment>
    <comment authorId="0" ref="A32">
      <text>
        <t xml:space="preserve">"Valeur des titres" DEGIRO</t>
      </text>
    </comment>
    <comment authorId="0" ref="A33">
      <text>
        <t xml:space="preserve">"Liquidités" DEGIRO</t>
      </text>
    </comment>
    <comment authorId="0" ref="A34">
      <text>
        <t xml:space="preserve">"Total portefeuille" DEGIRO</t>
      </text>
    </comment>
    <comment authorId="0" ref="B43">
      <text>
        <t xml:space="preserve">Earn / Loss from past performances (without current portfolio)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code.</t>
      </text>
    </comment>
    <comment authorId="0" ref="B1">
      <text>
        <t xml:space="preserve">Current best stock (recalculated monthly).</t>
      </text>
    </comment>
    <comment authorId="0" ref="C1">
      <text>
        <t xml:space="preserve">ISIN code.</t>
      </text>
    </comment>
    <comment authorId="0" ref="D1">
      <text>
        <t xml:space="preserve">Stock name.</t>
      </text>
    </comment>
    <comment authorId="0" ref="E1">
      <text>
        <t xml:space="preserve">Stock type.</t>
      </text>
    </comment>
    <comment authorId="0" ref="F1">
      <text>
        <t xml:space="preserve">Target distribution.</t>
      </text>
    </comment>
    <comment authorId="0" ref="G1">
      <text>
        <t xml:space="preserve">Yearly cost of stock management.</t>
      </text>
    </comment>
    <comment authorId="0" ref="I1">
      <text>
        <t xml:space="preserve">Market code.</t>
      </text>
    </comment>
    <comment authorId="0" ref="J1">
      <text>
        <t xml:space="preserve">Number of stock shares bought.</t>
      </text>
    </comment>
    <comment authorId="0" ref="K1">
      <text>
        <t xml:space="preserve">Current stock price in $.</t>
      </text>
    </comment>
    <comment authorId="0" ref="L1">
      <text>
        <t xml:space="preserve">Current stock price in €.</t>
      </text>
    </comment>
    <comment authorId="0" ref="M1">
      <text>
        <t xml:space="preserve">Bought stock value.</t>
      </text>
    </comment>
    <comment authorId="0" ref="N1">
      <text>
        <t xml:space="preserve">Current stock value.</t>
      </text>
    </comment>
    <comment authorId="0" ref="O1">
      <text>
        <t xml:space="preserve">Estimated amount to invest.</t>
      </text>
    </comment>
    <comment authorId="0" ref="P1">
      <text>
        <t xml:space="preserve">Amount of trade for the current month.</t>
      </text>
    </comment>
    <comment authorId="0" ref="Q1">
      <text>
        <t xml:space="preserve">Rebalance order from 0 to end.</t>
      </text>
    </comment>
    <comment authorId="0" ref="R1">
      <text>
        <t xml:space="preserve">Number of stock to buy/sell to rebalance the portfolio.</t>
      </text>
    </comment>
    <comment authorId="0" ref="T1">
      <text>
        <t xml:space="preserve">Amount to add to rebalance to be the closest to target rebalance total amount</t>
      </text>
    </comment>
    <comment authorId="0" ref="V1">
      <text>
        <t xml:space="preserve">3 days tendency.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F1">
      <text>
        <t xml:space="preserve">Rectification of the price compared to the real one</t>
      </text>
    </comment>
    <comment authorId="0" ref="AI1">
      <text>
        <t xml:space="preserve">Average Price paid for the current stock detained</t>
      </text>
    </comment>
    <comment authorId="0" ref="AJ1">
      <text>
        <t xml:space="preserve">Difference between price paid and current price (green =current price is lower [BUY], red = current price is higher [SELL])</t>
      </text>
    </comment>
    <comment authorId="0" ref="AK1">
      <text>
        <t xml:space="preserve">Actual distribution ratio.</t>
      </text>
    </comment>
    <comment authorId="0" ref="AL1">
      <text>
        <t xml:space="preserve">Difference between the current and the desired ratio.</t>
      </text>
    </comment>
    <comment authorId="0" ref="AT1">
      <text>
        <t xml:space="preserve">Estimation of price when bought (using Selection sheet)</t>
      </text>
    </comment>
    <comment authorId="0" ref="AU1">
      <text>
        <t xml:space="preserve">Estimated money return if invested this way from the begining of the strategy</t>
      </text>
    </comment>
    <comment authorId="0" ref="AV1">
      <text>
        <t xml:space="preserve">Estimated money earned if invested this way from the begining of investing</t>
      </text>
    </comment>
    <comment authorId="0" ref="AX1">
      <text>
        <t xml:space="preserve">Dividend obtained from the action price at the moment of the dividend paiement, by category and per year.</t>
      </text>
    </comment>
    <comment authorId="0" ref="AY1">
      <text>
        <t xml:space="preserve">Simplest : stock / number to buy</t>
      </text>
    </comment>
    <comment authorId="0" ref="AZ1">
      <text>
        <t xml:space="preserve">Opportunity : use tendency to predict opportunity</t>
      </text>
    </comment>
    <comment authorId="0" ref="BA1">
      <text>
        <t xml:space="preserve">Do not use : Buy with all the money the best stock</t>
      </text>
    </comment>
    <comment authorId="0" ref="BB1">
      <text>
        <t xml:space="preserve">Complex : use previous calculus but not very accurate</t>
      </text>
    </comment>
    <comment authorId="0" ref="J7">
      <text>
        <t xml:space="preserve">Euro to Dollar conversion (Bloomberg)
</t>
      </text>
    </comment>
    <comment authorId="0" ref="K7">
      <text>
        <t xml:space="preserve">Euro to Dollar conversion (cache)
</t>
      </text>
    </comment>
    <comment authorId="0" ref="L7">
      <text>
        <t xml:space="preserve">Euro to Dollar conversion (Bloomberg) [=J2*K2/290.135,93]
</t>
      </text>
    </comment>
    <comment authorId="0" ref="T7">
      <text>
        <t xml:space="preserve">Remaining value after rebalancing (used to buy some stocks).</t>
      </text>
    </comment>
    <comment authorId="0" ref="AF7">
      <text>
        <t xml:space="preserve">Use to adjust "Current portfolio stock"</t>
      </text>
    </comment>
    <comment authorId="0" ref="AL7">
      <text>
        <t xml:space="preserve">Trading cost.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3">
      <text>
        <t xml:space="preserve">Use to adjust "Current portfolio total profit"</t>
      </text>
    </comment>
    <comment authorId="0" ref="G44">
      <text>
        <t xml:space="preserve">Use to adjust "Current portfolio cash"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Cached value</t>
      </text>
    </comment>
    <comment authorId="0" ref="J1">
      <text>
        <t xml:space="preserve">Cached value</t>
      </text>
    </comment>
    <comment authorId="0" ref="V2">
      <text>
        <t xml:space="preserve">https://www.bloomberg.com/quote/TLT:US</t>
      </text>
    </comment>
    <comment authorId="0" ref="AF2">
      <text>
        <t xml:space="preserve">https://www.bloomberg.com/quote/TLT:US</t>
      </text>
    </comment>
    <comment authorId="0" ref="V3">
      <text>
        <t xml:space="preserve">https://www.bloomberg.com/quote/TBF:US</t>
      </text>
    </comment>
    <comment authorId="0" ref="AF3">
      <text>
        <t xml:space="preserve">https://www.bloomberg.com/quote/TLT:US</t>
      </text>
    </comment>
    <comment authorId="0" ref="V4">
      <text>
        <t xml:space="preserve">https://www.bloomberg.com/quote/TBT:US</t>
      </text>
    </comment>
    <comment authorId="0" ref="AF4">
      <text>
        <t xml:space="preserve">https://www.bloomberg.com/quote/TLT:US</t>
      </text>
    </comment>
    <comment authorId="0" ref="V5">
      <text>
        <t xml:space="preserve">https://www.bloomberg.com/quote/EDV:US</t>
      </text>
    </comment>
    <comment authorId="0" ref="AF5">
      <text>
        <t xml:space="preserve">https://www.bloomberg.com/quote/TLT:US</t>
      </text>
    </comment>
    <comment authorId="0" ref="V6">
      <text>
        <t xml:space="preserve">https://www.bloomberg.com/quote/IDTL:LN</t>
      </text>
    </comment>
    <comment authorId="0" ref="AF6">
      <text>
        <t xml:space="preserve">https://www.bloomberg.com/quote/TLT:US</t>
      </text>
    </comment>
    <comment authorId="0" ref="V7">
      <text>
        <t xml:space="preserve">https://www.bloomberg.com/quote/VWO:US</t>
      </text>
    </comment>
    <comment authorId="0" ref="AF7">
      <text>
        <t xml:space="preserve">https://www.bloomberg.com/quote/TLT:US</t>
      </text>
    </comment>
    <comment authorId="0" ref="V8">
      <text>
        <t xml:space="preserve">https://www.bloomberg.com/quote/QUAL:US</t>
      </text>
    </comment>
    <comment authorId="0" ref="V9">
      <text>
        <t xml:space="preserve">https://www.bloomberg.com/quote/SCHD:US</t>
      </text>
    </comment>
    <comment authorId="0" ref="V10">
      <text>
        <t xml:space="preserve">https://www.bloomberg.com/quote/SPY:US</t>
      </text>
    </comment>
    <comment authorId="0" ref="V11">
      <text>
        <t xml:space="preserve">https://www.bloomberg.com/quote/VOO:US</t>
      </text>
    </comment>
    <comment authorId="0" ref="V12">
      <text>
        <t xml:space="preserve">https://www.bloomberg.com/quote/SCHB:US</t>
      </text>
    </comment>
    <comment authorId="0" ref="V13">
      <text>
        <t xml:space="preserve">https://www.bloomberg.com/quote/ITOT:US</t>
      </text>
    </comment>
    <comment authorId="0" ref="V14">
      <text>
        <t xml:space="preserve">https://www.bloomberg.com/quote/VTI:US</t>
      </text>
    </comment>
    <comment authorId="0" ref="V15">
      <text>
        <t xml:space="preserve">https://www.bloomberg.com/quote/USMV:US</t>
      </text>
    </comment>
    <comment authorId="0" ref="V16">
      <text>
        <t xml:space="preserve">https://www.bloomberg.com/quote/VYM:US</t>
      </text>
    </comment>
    <comment authorId="0" ref="V17">
      <text>
        <t xml:space="preserve">https://www.bloomberg.com/quote/IWV:US</t>
      </text>
    </comment>
    <comment authorId="0" ref="V18">
      <text>
        <t xml:space="preserve">https://www.bloomberg.com/quote/SCHR:US</t>
      </text>
    </comment>
    <comment authorId="0" ref="V19">
      <text>
        <t xml:space="preserve">https://www.bloomberg.com/quote/VUSA:NA</t>
      </text>
    </comment>
    <comment authorId="0" ref="V20">
      <text>
        <t xml:space="preserve">https://www.bloomberg.com/quote/IUSA:NA</t>
      </text>
    </comment>
    <comment authorId="0" ref="V21">
      <text>
        <t xml:space="preserve">https://www.bloomberg.com/quote/IEF:US</t>
      </text>
    </comment>
    <comment authorId="0" ref="V22">
      <text>
        <t xml:space="preserve">https://www.bloomberg.com/quote/VGIT:US</t>
      </text>
    </comment>
    <comment authorId="0" ref="V23">
      <text>
        <t xml:space="preserve">https://www.bloomberg.com/quote/BTMA:NA</t>
      </text>
    </comment>
    <comment authorId="0" ref="V24">
      <text>
        <t xml:space="preserve">https://www.bloomberg.com/quote/DBC:US</t>
      </text>
    </comment>
    <comment authorId="0" ref="V25">
      <text>
        <t xml:space="preserve">https://www.bloomberg.com/quote/GSG:US</t>
      </text>
    </comment>
    <comment authorId="0" ref="V26">
      <text>
        <t xml:space="preserve">https://www.bloomberg.com/quote/USCI:US</t>
      </text>
    </comment>
    <comment authorId="0" ref="V27">
      <text>
        <t xml:space="preserve">https://www.bloomberg.com/quote/DJP:US</t>
      </text>
    </comment>
    <comment authorId="0" ref="V28">
      <text>
        <t xml:space="preserve">https://www.bloomberg.com/quote/AIGCP:FP</t>
      </text>
    </comment>
    <comment authorId="0" ref="V29">
      <text>
        <t xml:space="preserve">https://www.bloomberg.com/quote/EXXY:TH</t>
      </text>
    </comment>
    <comment authorId="0" ref="V30">
      <text>
        <t xml:space="preserve">https://www.bloomberg.com/quote/OUNZ:US</t>
      </text>
    </comment>
    <comment authorId="0" ref="V31">
      <text>
        <t xml:space="preserve">https://www.bloomberg.com/quote/IAU:US</t>
      </text>
    </comment>
    <comment authorId="0" ref="V32">
      <text>
        <t xml:space="preserve">https://www.bloomberg.com/quote/SGOL:US</t>
      </text>
    </comment>
    <comment authorId="0" ref="V33">
      <text>
        <t xml:space="preserve">https://www.bloomberg.com/quote/GLD:US</t>
      </text>
    </comment>
    <comment authorId="0" ref="V34">
      <text>
        <t xml:space="preserve">https://www.bloomberg.com/quote/DGL:US</t>
      </text>
    </comment>
    <comment authorId="0" ref="V35">
      <text>
        <t xml:space="preserve">https://www.bloomberg.com/quote/PHAU:NA</t>
      </text>
    </comment>
    <comment authorId="0" ref="V36">
      <text>
        <t xml:space="preserve">https://www.bloomberg.com/quote/GBS:FP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Portfolio + Allocation</t>
      </text>
    </comment>
    <comment authorId="0" ref="E1">
      <text>
        <t xml:space="preserve">Allocation / Portfolio</t>
      </text>
    </comment>
    <comment authorId="0" ref="H1">
      <text>
        <t xml:space="preserve">Interest / Allocation</t>
      </text>
    </comment>
    <comment authorId="0" ref="J1">
      <text>
        <t xml:space="preserve">Monthly income on a year basis.</t>
      </text>
    </comment>
    <comment authorId="0" ref="K1">
      <text>
        <t xml:space="preserve">Average / Portfolio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Value * Rate / 12</t>
      </text>
    </comment>
    <comment authorId="0" ref="E1">
      <text>
        <t xml:space="preserve">Value + Gain</t>
      </text>
    </comment>
  </commentList>
</comments>
</file>

<file path=xl/sharedStrings.xml><?xml version="1.0" encoding="utf-8"?>
<sst xmlns="http://schemas.openxmlformats.org/spreadsheetml/2006/main" count="4018" uniqueCount="1346">
  <si>
    <t>Savings</t>
  </si>
  <si>
    <t>Expenses</t>
  </si>
  <si>
    <t>Account</t>
  </si>
  <si>
    <t>Performances</t>
  </si>
  <si>
    <t>Allocations</t>
  </si>
  <si>
    <t>Total portfolio</t>
  </si>
  <si>
    <t>Stock value</t>
  </si>
  <si>
    <t>Cash Fund</t>
  </si>
  <si>
    <t>Daily result</t>
  </si>
  <si>
    <t>Cumulated result</t>
  </si>
  <si>
    <t>Margin</t>
  </si>
  <si>
    <t>Label</t>
  </si>
  <si>
    <t>Term</t>
  </si>
  <si>
    <t>Total month</t>
  </si>
  <si>
    <t>Start Date</t>
  </si>
  <si>
    <t>End Date</t>
  </si>
  <si>
    <t>Initial</t>
  </si>
  <si>
    <t>Interest</t>
  </si>
  <si>
    <t>Rate</t>
  </si>
  <si>
    <t>Remain month</t>
  </si>
  <si>
    <t>Due</t>
  </si>
  <si>
    <t>Sofinco</t>
  </si>
  <si>
    <t>Boursorama</t>
  </si>
  <si>
    <t>Rent</t>
  </si>
  <si>
    <t>PE</t>
  </si>
  <si>
    <t>Alloc</t>
  </si>
  <si>
    <t>Bruno (tractor)</t>
  </si>
  <si>
    <t>Date</t>
  </si>
  <si>
    <t>Heure</t>
  </si>
  <si>
    <t xml:space="preserve">Date de </t>
  </si>
  <si>
    <t>Produit</t>
  </si>
  <si>
    <t>Code ISIN</t>
  </si>
  <si>
    <t>Description</t>
  </si>
  <si>
    <t>FX</t>
  </si>
  <si>
    <t>Mouvements</t>
  </si>
  <si>
    <t>Solde</t>
  </si>
  <si>
    <t>Type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</si>
  <si>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</si>
  <si>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</si>
  <si>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</si>
  <si>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</si>
  <si>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</si>
  <si>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</si>
  <si>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</si>
  <si>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</si>
  <si>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</si>
  <si>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ID</t>
  </si>
  <si>
    <t>Transaction</t>
  </si>
  <si>
    <t>Quantity</t>
  </si>
  <si>
    <t>Price</t>
  </si>
  <si>
    <t>Value</t>
  </si>
  <si>
    <t>04-01-2019</t>
  </si>
  <si>
    <t>15:31</t>
  </si>
  <si>
    <t>Retrait de fonds en cours</t>
  </si>
  <si>
    <t>EUR</t>
  </si>
  <si>
    <t>-1500,00</t>
  </si>
  <si>
    <t>-507116,27</t>
  </si>
  <si>
    <t>02-01-2019</t>
  </si>
  <si>
    <t>15:08</t>
  </si>
  <si>
    <t>VANGUARD S&amp;P500</t>
  </si>
  <si>
    <t>IE00B3XXRP09</t>
  </si>
  <si>
    <t>Achat 74 VANGUARD S&amp;P500@41,15 EUR (IE00B3XXRP09)</t>
  </si>
  <si>
    <t>-3045,10</t>
  </si>
  <si>
    <t>-505616,27</t>
  </si>
  <si>
    <t>14:48</t>
  </si>
  <si>
    <t>ETFS ALL COMMODIT.</t>
  </si>
  <si>
    <t>GB00B15KY989</t>
  </si>
  <si>
    <t>Achat 300 ETFS ALL COMMODIT.@6,82 EUR (GB00B15KY989)</t>
  </si>
  <si>
    <t>-2046,00</t>
  </si>
  <si>
    <t>-502571,17</t>
  </si>
  <si>
    <t>14:20</t>
  </si>
  <si>
    <t>31-12-2018</t>
  </si>
  <si>
    <t>Intérêts débiteurs mensuels (Débit Argent)</t>
  </si>
  <si>
    <t>-534,69</t>
  </si>
  <si>
    <t>-500525,17</t>
  </si>
  <si>
    <t>06:37</t>
  </si>
  <si>
    <t>28-12-2018</t>
  </si>
  <si>
    <t>Operation de change - Crédit</t>
  </si>
  <si>
    <t>4248,65</t>
  </si>
  <si>
    <t>-499990,48</t>
  </si>
  <si>
    <t>Opération de change - Débit</t>
  </si>
  <si>
    <t>1,1444</t>
  </si>
  <si>
    <t>USD</t>
  </si>
  <si>
    <t>-4867,14</t>
  </si>
  <si>
    <t>0,00</t>
  </si>
  <si>
    <t>Dividend</t>
  </si>
  <si>
    <t>30-12-2018</t>
  </si>
  <si>
    <t>12:00</t>
  </si>
  <si>
    <t>ISH $ TRESU 20+</t>
  </si>
  <si>
    <t>IE00BSKRJZ44</t>
  </si>
  <si>
    <t>Dividende</t>
  </si>
  <si>
    <t>4867,15</t>
  </si>
  <si>
    <t>4867,14</t>
  </si>
  <si>
    <t>27-12-2018</t>
  </si>
  <si>
    <t>16:52</t>
  </si>
  <si>
    <t>ISHARES US T 7-10</t>
  </si>
  <si>
    <t>IE00B1FZS798</t>
  </si>
  <si>
    <t>Vente 5 ISHARES US T 7-10@166,98 EUR (IE00B1FZS798)</t>
  </si>
  <si>
    <t>834,90</t>
  </si>
  <si>
    <t>-504239,13</t>
  </si>
  <si>
    <t>16:49</t>
  </si>
  <si>
    <t>Vente 2 ISHARES US T 7-10@166,98 EUR (IE00B1FZS798)</t>
  </si>
  <si>
    <t>333,96</t>
  </si>
  <si>
    <t>-505074,03</t>
  </si>
  <si>
    <t>13:04</t>
  </si>
  <si>
    <t>1,1395</t>
  </si>
  <si>
    <t>-3117,79</t>
  </si>
  <si>
    <t>-0,01</t>
  </si>
  <si>
    <t>2733,44</t>
  </si>
  <si>
    <t>-505407,99</t>
  </si>
  <si>
    <t>Frais de courtage</t>
  </si>
  <si>
    <t>-0,55</t>
  </si>
  <si>
    <t>-508141,43</t>
  </si>
  <si>
    <t>Vente 691 ISH $ TRESU 20+@4,512 USD (IE00BSKRJZ44)</t>
  </si>
  <si>
    <t>3117,79</t>
  </si>
  <si>
    <t>3117,78</t>
  </si>
  <si>
    <t>12:55</t>
  </si>
  <si>
    <t>1,1388</t>
  </si>
  <si>
    <t>-1601,76</t>
  </si>
  <si>
    <t>1405,10</t>
  </si>
  <si>
    <t>-508140,88</t>
  </si>
  <si>
    <t>-2,00</t>
  </si>
  <si>
    <t>-509545,98</t>
  </si>
  <si>
    <t>-0,28</t>
  </si>
  <si>
    <t>-509543,98</t>
  </si>
  <si>
    <t>Vente 355 ISH $ TRESU 20+@4,512 USD (IE00BSKRJZ44)</t>
  </si>
  <si>
    <t>1601,76</t>
  </si>
  <si>
    <t>1601,75</t>
  </si>
  <si>
    <t>12:02</t>
  </si>
  <si>
    <t>ETFS PHYSICALGOLD</t>
  </si>
  <si>
    <t>JE00B1VS3770</t>
  </si>
  <si>
    <t>Vente 11 ETFS PHYSICALGOLD@106,6 EUR (JE00B1VS3770)</t>
  </si>
  <si>
    <t>1172,60</t>
  </si>
  <si>
    <t>-509543,70</t>
  </si>
  <si>
    <t>11:56</t>
  </si>
  <si>
    <t>Vente 9 ISHARES US T 7-10@166,95 EUR (IE00B1FZS798)</t>
  </si>
  <si>
    <t>1502,55</t>
  </si>
  <si>
    <t>-510716,30</t>
  </si>
  <si>
    <t>21-12-2018</t>
  </si>
  <si>
    <t>14:55</t>
  </si>
  <si>
    <t>Vente 10 ISHARES US T 7-10@166,55 EUR (IE00B1FZS798)</t>
  </si>
  <si>
    <t>1665,50</t>
  </si>
  <si>
    <t>-512218,85</t>
  </si>
  <si>
    <t>14:26</t>
  </si>
  <si>
    <t>Vente 10 ETFS PHYSICALGOLD@105,65 EUR (JE00B1VS3770)</t>
  </si>
  <si>
    <t>1056,50</t>
  </si>
  <si>
    <t>-513884,35</t>
  </si>
  <si>
    <t>20-12-2018</t>
  </si>
  <si>
    <t>14:39</t>
  </si>
  <si>
    <t>-514940,85</t>
  </si>
  <si>
    <t>-0,83</t>
  </si>
  <si>
    <t>-514938,85</t>
  </si>
  <si>
    <t>Achat 100 VANGUARD S&amp;P500@41,63 EUR (IE00B3XXRP09)</t>
  </si>
  <si>
    <t>-4163,00</t>
  </si>
  <si>
    <t>-514938,02</t>
  </si>
  <si>
    <t>10:33</t>
  </si>
  <si>
    <t>1,1469</t>
  </si>
  <si>
    <t>-2480,10</t>
  </si>
  <si>
    <t>2160,24</t>
  </si>
  <si>
    <t>-510775,02</t>
  </si>
  <si>
    <t>-512935,26</t>
  </si>
  <si>
    <t>Yield</t>
  </si>
  <si>
    <t>Monthly income</t>
  </si>
  <si>
    <t>Monthly expenses</t>
  </si>
  <si>
    <t>Year of retrieval</t>
  </si>
  <si>
    <t>Cumulated saving</t>
  </si>
  <si>
    <t>-0,43</t>
  </si>
  <si>
    <t>-512933,26</t>
  </si>
  <si>
    <t>Cumulated profit</t>
  </si>
  <si>
    <t>Cumulated profit rate</t>
  </si>
  <si>
    <t>Cumulated dividend</t>
  </si>
  <si>
    <t>Cumulated dividend rate</t>
  </si>
  <si>
    <t>Saving duration</t>
  </si>
  <si>
    <t>Average investment</t>
  </si>
  <si>
    <t>Working free duration</t>
  </si>
  <si>
    <t>Before independance duration</t>
  </si>
  <si>
    <t>Vente 544 ISH $ TRESU 20+@4,559 USD (IE00BSKRJZ44)</t>
  </si>
  <si>
    <t>2480,10</t>
  </si>
  <si>
    <t>2480,09</t>
  </si>
  <si>
    <t>Before independance gap</t>
  </si>
  <si>
    <t>Income use</t>
  </si>
  <si>
    <t>Current expense</t>
  </si>
  <si>
    <t xml:space="preserve">Expense gap </t>
  </si>
  <si>
    <t>Debt</t>
  </si>
  <si>
    <t>Owing</t>
  </si>
  <si>
    <t>Loan</t>
  </si>
  <si>
    <t>Client</t>
  </si>
  <si>
    <t>Monthly payment</t>
  </si>
  <si>
    <t>Saving available</t>
  </si>
  <si>
    <t>10:01</t>
  </si>
  <si>
    <t>1,1429</t>
  </si>
  <si>
    <t>-8022,96</t>
  </si>
  <si>
    <t>-0,00</t>
  </si>
  <si>
    <t>N26</t>
  </si>
  <si>
    <t>Current monthly dividend / thousand</t>
  </si>
  <si>
    <t>Current monthly dividend</t>
  </si>
  <si>
    <t xml:space="preserve">Last year monthly dividend </t>
  </si>
  <si>
    <t>Current portfolio duration</t>
  </si>
  <si>
    <t>Current portfolio stock</t>
  </si>
  <si>
    <t>Current portfolio cash</t>
  </si>
  <si>
    <t>Current portfolio value</t>
  </si>
  <si>
    <t>7013,08</t>
  </si>
  <si>
    <t>-512932,83</t>
  </si>
  <si>
    <t>Current portfolio total profit</t>
  </si>
  <si>
    <t>Current portfolio total profit rate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</si>
  <si>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</si>
  <si>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</si>
  <si>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</si>
  <si>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</si>
  <si>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</si>
  <si>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Total Approvisionnement</t>
  </si>
  <si>
    <t>Previous profit</t>
  </si>
  <si>
    <t>-519945,91</t>
  </si>
  <si>
    <t>Current Approvisionnement</t>
  </si>
  <si>
    <t>Current Allocation</t>
  </si>
  <si>
    <t>Next Allocation</t>
  </si>
  <si>
    <t>Allocation percentage</t>
  </si>
  <si>
    <t>Real dividend rate</t>
  </si>
  <si>
    <t>Year dividend rate</t>
  </si>
  <si>
    <t>-1,41</t>
  </si>
  <si>
    <t>-519943,91</t>
  </si>
  <si>
    <t>Livret A</t>
  </si>
  <si>
    <t>EONIA</t>
  </si>
  <si>
    <t>Interest rate (EONIA+1.25%)</t>
  </si>
  <si>
    <t>Monthly interest</t>
  </si>
  <si>
    <t>Provision</t>
  </si>
  <si>
    <t>Stock to rebalance</t>
  </si>
  <si>
    <t>Last updated</t>
  </si>
  <si>
    <t>App link</t>
  </si>
  <si>
    <t>https://goo.gl/amjmSv</t>
  </si>
  <si>
    <t>Vente 1 760 ISH $ TRESU 20+@4,5585 USD (IE00BSKRJZ44)</t>
  </si>
  <si>
    <t>8022,96</t>
  </si>
  <si>
    <t>19-12-2018</t>
  </si>
  <si>
    <t>12:16</t>
  </si>
  <si>
    <t>1,1410</t>
  </si>
  <si>
    <t>-5268,84</t>
  </si>
  <si>
    <t>Code</t>
  </si>
  <si>
    <t xml:space="preserve">Top </t>
  </si>
  <si>
    <t>ISIN</t>
  </si>
  <si>
    <t>Name</t>
  </si>
  <si>
    <t>Target Dist</t>
  </si>
  <si>
    <t>Cost</t>
  </si>
  <si>
    <t>Market</t>
  </si>
  <si>
    <t>Symbol</t>
  </si>
  <si>
    <t>Shares</t>
  </si>
  <si>
    <t>Price (€)</t>
  </si>
  <si>
    <t>Buy</t>
  </si>
  <si>
    <t>Sell</t>
  </si>
  <si>
    <t>Estimation</t>
  </si>
  <si>
    <t>Monthly trade</t>
  </si>
  <si>
    <t>Rank</t>
  </si>
  <si>
    <t>Rebalance</t>
  </si>
  <si>
    <t>Rest</t>
  </si>
  <si>
    <t>Tendency</t>
  </si>
  <si>
    <t>Stock</t>
  </si>
  <si>
    <t>Total</t>
  </si>
  <si>
    <t>4613,00</t>
  </si>
  <si>
    <t>-519942,50</t>
  </si>
  <si>
    <t>Price Gap</t>
  </si>
  <si>
    <t>Last upd</t>
  </si>
  <si>
    <t>Close</t>
  </si>
  <si>
    <t>Mean price</t>
  </si>
  <si>
    <t>Gap</t>
  </si>
  <si>
    <t>Distrib</t>
  </si>
  <si>
    <t>Last div</t>
  </si>
  <si>
    <t>Next div</t>
  </si>
  <si>
    <t>Div / share</t>
  </si>
  <si>
    <t>Est div</t>
  </si>
  <si>
    <t>Div / month</t>
  </si>
  <si>
    <t>Div left</t>
  </si>
  <si>
    <t>Initial price</t>
  </si>
  <si>
    <t>Potential value</t>
  </si>
  <si>
    <t>Max value</t>
  </si>
  <si>
    <t>Raw Div</t>
  </si>
  <si>
    <t>TEST</t>
  </si>
  <si>
    <t>IDTL</t>
  </si>
  <si>
    <t>-524555,50</t>
  </si>
  <si>
    <t>-0,92</t>
  </si>
  <si>
    <t>-524553,50</t>
  </si>
  <si>
    <t>Vente 1 177 ISH $ TRESU 20+@4,4765 USD (IE00BSKRJZ44)</t>
  </si>
  <si>
    <t>5268,84</t>
  </si>
  <si>
    <t>18-12-2018</t>
  </si>
  <si>
    <t>11:48</t>
  </si>
  <si>
    <t>Vente 10 ETFS PHYSICALGOLD@104,83 EUR (JE00B1VS3770)</t>
  </si>
  <si>
    <t>1048,30</t>
  </si>
  <si>
    <t>-524552,58</t>
  </si>
  <si>
    <t>11:45</t>
  </si>
  <si>
    <t>Vente 15 ISHARES US T 7-10@166,3 EUR (IE00B1FZS798)</t>
  </si>
  <si>
    <t>2494,50</t>
  </si>
  <si>
    <t>-525600,88</t>
  </si>
  <si>
    <t>17-12-2018</t>
  </si>
  <si>
    <t>16:24</t>
  </si>
  <si>
    <t>-528095,38</t>
  </si>
  <si>
    <t>-0,42</t>
  </si>
  <si>
    <t>-528093,38</t>
  </si>
  <si>
    <t xml:space="preserve">Achat 48 VANGUARD S&amp;P500@43,36 EUR </t>
  </si>
  <si>
    <t>-2081,28</t>
  </si>
  <si>
    <t>-528092,96</t>
  </si>
  <si>
    <t>VUSA</t>
  </si>
  <si>
    <t>(IE00B3XXRP09)</t>
  </si>
  <si>
    <t>16:17</t>
  </si>
  <si>
    <t>-526011,68</t>
  </si>
  <si>
    <t>-0,52</t>
  </si>
  <si>
    <t>-526009,68</t>
  </si>
  <si>
    <t>Achat 60 VANGUARD S&amp;P500@43,37 EUR (IE00B3XXRP09)</t>
  </si>
  <si>
    <t>-2602,20</t>
  </si>
  <si>
    <t>-526009,16</t>
  </si>
  <si>
    <t>12:05</t>
  </si>
  <si>
    <t>-523406,96</t>
  </si>
  <si>
    <t>-0,77</t>
  </si>
  <si>
    <t>-523404,96</t>
  </si>
  <si>
    <t>Achat 88 VANGUARD S&amp;P500@43,7 EUR (IE00B3XXRP09)</t>
  </si>
  <si>
    <t>-3845,60</t>
  </si>
  <si>
    <t>-523404,19</t>
  </si>
  <si>
    <t>BTMA</t>
  </si>
  <si>
    <t>14-12-2018</t>
  </si>
  <si>
    <t>15:47</t>
  </si>
  <si>
    <t>-519558,59</t>
  </si>
  <si>
    <t>-1,69</t>
  </si>
  <si>
    <t>-519556,59</t>
  </si>
  <si>
    <t>Vente 190 VANGUARD S&amp;P500@44,39 EUR (IE00B3XXRP09)</t>
  </si>
  <si>
    <t>8434,10</t>
  </si>
  <si>
    <t>-519554,90</t>
  </si>
  <si>
    <t>07-12-2018</t>
  </si>
  <si>
    <t>09:05</t>
  </si>
  <si>
    <t>Achat 1 ETFS ALL COMMODIT.@7,357 EUR (GB00B15KY989)</t>
  </si>
  <si>
    <t>-7,36</t>
  </si>
  <si>
    <t>-527989,00</t>
  </si>
  <si>
    <t>Achat 254 ETFS ALL COMMODIT.@7,357 EUR (GB00B15KY989)</t>
  </si>
  <si>
    <t>-1868,68</t>
  </si>
  <si>
    <t>-527981,64</t>
  </si>
  <si>
    <t>AIGCP</t>
  </si>
  <si>
    <t>Achat 91 VANGUARD S&amp;P500@44,735 EUR (IE00B3XXRP09)</t>
  </si>
  <si>
    <t>-4070,88</t>
  </si>
  <si>
    <t>-526112,96</t>
  </si>
  <si>
    <t>06-12-2018</t>
  </si>
  <si>
    <t>16:11</t>
  </si>
  <si>
    <t>1,1396</t>
  </si>
  <si>
    <t>-1759,69</t>
  </si>
  <si>
    <t>1542,58</t>
  </si>
  <si>
    <t>-522042,08</t>
  </si>
  <si>
    <t>-523584,66</t>
  </si>
  <si>
    <t>PHAU</t>
  </si>
  <si>
    <t>-0,31</t>
  </si>
  <si>
    <t>-523582,66</t>
  </si>
  <si>
    <t>Vente 392 ISH $ TRESU 20+@4,489 USD (IE00BSKRJZ44)</t>
  </si>
  <si>
    <t>1759,69</t>
  </si>
  <si>
    <t>11:50</t>
  </si>
  <si>
    <t>Achat 236 VANGUARD S&amp;P500@44,578 EUR (IE00B3XXRP09)</t>
  </si>
  <si>
    <t>-10520,41</t>
  </si>
  <si>
    <t>-523582,35</t>
  </si>
  <si>
    <t>04-12-2018</t>
  </si>
  <si>
    <t>17:26</t>
  </si>
  <si>
    <t>30-11-2018</t>
  </si>
  <si>
    <t>-579,07</t>
  </si>
  <si>
    <t>-513061,94</t>
  </si>
  <si>
    <t>15:06</t>
  </si>
  <si>
    <t>Retrait de fonds</t>
  </si>
  <si>
    <t>-512482,87</t>
  </si>
  <si>
    <t>EURUSD</t>
  </si>
  <si>
    <t>CUR</t>
  </si>
  <si>
    <t>TOTAL</t>
  </si>
  <si>
    <t>COST</t>
  </si>
  <si>
    <t>Profit</t>
  </si>
  <si>
    <t>APPROVISIONNEMENT</t>
  </si>
  <si>
    <t>@APPROVISIONNEMENT@@-1500</t>
  </si>
  <si>
    <t>@COST@@-534.69</t>
  </si>
  <si>
    <t>Commodities</t>
  </si>
  <si>
    <t>ETFS All Commodities</t>
  </si>
  <si>
    <t>BUY</t>
  </si>
  <si>
    <t>ETFS All Commodities@BUY@300@-2046</t>
  </si>
  <si>
    <t>Stocks</t>
  </si>
  <si>
    <t>Vanguard S&amp;P 500 UCITS ETF</t>
  </si>
  <si>
    <t>Vanguard S&amp;P 500 UCITS ETF@BUY@74@-3045.1</t>
  </si>
  <si>
    <t>Long term US bonds (20-25 year)</t>
  </si>
  <si>
    <t>iShares USD Treasury Bond 20+yr UCITS ETF</t>
  </si>
  <si>
    <t>DIVIDEND</t>
  </si>
  <si>
    <t>iShares USD Treasury Bond 20+yr UCITS ETF@DIVIDEND@@4867.15</t>
  </si>
  <si>
    <t>iShares USD Treasury Bond 20+yr UCITS ETF@DIVIDEND@@-618.490000000001</t>
  </si>
  <si>
    <t>Intermediate US bonds (7-10 year)</t>
  </si>
  <si>
    <t>iShares USD Treasury Bond 7-10yr UCITS ETF USD Dist</t>
  </si>
  <si>
    <t>SELL</t>
  </si>
  <si>
    <t>iShares USD Treasury Bond 7-10yr UCITS ETF USD Dist@SELL@-2@333.96</t>
  </si>
  <si>
    <t>iShares USD Treasury Bond 7-10yr UCITS ETF USD Dist@SELL@-5@834.9</t>
  </si>
  <si>
    <t>iShares USD Treasury Bond 7-10yr UCITS ETF USD Dist@SELL@-9@1502.55</t>
  </si>
  <si>
    <t>Gold</t>
  </si>
  <si>
    <t>ETFS Physical Gold</t>
  </si>
  <si>
    <t>ETFS Physical Gold@SELL@-11@1172.6</t>
  </si>
  <si>
    <t>iShares USD Treasury Bond 20+yr UCITS ETF@COST@@-2.28</t>
  </si>
  <si>
    <t>iShares USD Treasury Bond 20+yr UCITS ETF@SELL@-355@1405.1</t>
  </si>
  <si>
    <t>iShares USD Treasury Bond 20+yr UCITS ETF@COST@@-0.55</t>
  </si>
  <si>
    <t>iShares USD Treasury Bond 20+yr UCITS ETF@SELL@-691@2733.44</t>
  </si>
  <si>
    <t>ETFS Physical Gold@SELL@-10@1056.5</t>
  </si>
  <si>
    <t>iShares USD Treasury Bond 7-10yr UCITS ETF USD Dist@SELL@-10@1665.5</t>
  </si>
  <si>
    <t>Vanguard S&amp;P 500 UCITS ETF@BUY@100@-4163</t>
  </si>
  <si>
    <t>Vanguard S&amp;P 500 UCITS ETF@COST@@-2.83</t>
  </si>
  <si>
    <t>iShares USD Treasury Bond 20+yr UCITS ETF@COST@@-2.43</t>
  </si>
  <si>
    <t>iShares USD Treasury Bond 20+yr UCITS ETF@SELL@-544@2160.24</t>
  </si>
  <si>
    <t>iShares USD Treasury Bond 20+yr UCITS ETF@COST@@-3.41</t>
  </si>
  <si>
    <t>iShares USD Treasury Bond 20+yr UCITS ETF@SELL@-1760@7013.08</t>
  </si>
  <si>
    <t>iShares USD Treasury Bond 20+yr UCITS ETF@COST@@-2.92</t>
  </si>
  <si>
    <t>iShares USD Treasury Bond 20+yr UCITS ETF@SELL@-1177@4613</t>
  </si>
  <si>
    <t>iShares USD Treasury Bond 7-10yr UCITS ETF USD Dist@SELL@-15@2494.5</t>
  </si>
  <si>
    <t>ETFS Physical Gold@SELL@-10@1048.3</t>
  </si>
  <si>
    <t>Vanguard S&amp;P 500 UCITS ETF@BUY@48@-2081.28</t>
  </si>
  <si>
    <t>Vanguard S&amp;P 500 UCITS ETF@COST@@-2.42</t>
  </si>
  <si>
    <t>Vanguard S&amp;P 500 UCITS ETF@BUY@60@-2602.2</t>
  </si>
  <si>
    <t>Vanguard S&amp;P 500 UCITS ETF@COST@@-2.52</t>
  </si>
  <si>
    <t>Vanguard S&amp;P 500 UCITS ETF@BUY@88@-3845.6</t>
  </si>
  <si>
    <t>Vanguard S&amp;P 500 UCITS ETF@COST@@-2.77</t>
  </si>
  <si>
    <t>Vanguard S&amp;P 500 UCITS ETF@SELL@-190@8434.1</t>
  </si>
  <si>
    <t>Vanguard S&amp;P 500 UCITS ETF@COST@@-3.69</t>
  </si>
  <si>
    <t>Vanguard S&amp;P 500 UCITS ETF@BUY@91@-4070.88</t>
  </si>
  <si>
    <t>ETFS All Commodities@BUY@255@-1876.04</t>
  </si>
  <si>
    <t>iShares USD Treasury Bond 20+yr UCITS ETF@COST@@-2.31</t>
  </si>
  <si>
    <t>iShares USD Treasury Bond 20+yr UCITS ETF@SELL@-392@1542.58</t>
  </si>
  <si>
    <t>Vanguard S&amp;P 500 UCITS ETF@BUY@236@-10520.41</t>
  </si>
  <si>
    <t>@COST@@-579.07</t>
  </si>
  <si>
    <t>@COST@@-0.04</t>
  </si>
  <si>
    <t>iShares USD Treasury Bond 7-10yr UCITS ETF USD Dist@DIVIDEND@@-204.87</t>
  </si>
  <si>
    <t>iShares USD Treasury Bond 7-10yr UCITS ETF USD Dist@DIVIDEND@@1663.14</t>
  </si>
  <si>
    <t>Vanguard S&amp;P 500 UCITS ETF@SELL@-25@1142.5</t>
  </si>
  <si>
    <t>Vanguard S&amp;P 500 UCITS ETF@COST@@-2.23</t>
  </si>
  <si>
    <t>ETFS All Commodities@BUY@214@-1551.5</t>
  </si>
  <si>
    <t>iShares USD Treasury Bond 20+yr UCITS ETF@COST@@-2.23</t>
  </si>
  <si>
    <t>iShares USD Treasury Bond 20+yr UCITS ETF@SELL@-300@1145.66</t>
  </si>
  <si>
    <t>iShares USD Treasury Bond 20+yr UCITS ETF@COST@@-0.01</t>
  </si>
  <si>
    <t>iShares USD Treasury Bond 20+yr UCITS ETF@COST@@-3.37</t>
  </si>
  <si>
    <t>iShares USD Treasury Bond 20+yr UCITS ETF@SELL@-1798@6827.2</t>
  </si>
  <si>
    <t>iShares USD Treasury Bond 7-10yr UCITS ETF USD Dist@SELL@-7@1138.83</t>
  </si>
  <si>
    <t>iShares USD Treasury Bond 7-10yr UCITS ETF USD Dist@COST@@-2.23</t>
  </si>
  <si>
    <t>ETFS Physical Gold@SELL@-1@102.84</t>
  </si>
  <si>
    <t>Vanguard S&amp;P 500 UCITS ETF@BUY@60@-2721.72</t>
  </si>
  <si>
    <t>iShares USD Treasury Bond 7-10yr UCITS ETF USD Dist@BUY@7@-1146.25</t>
  </si>
  <si>
    <t>@APPROVISIONNEMENT@@-300</t>
  </si>
  <si>
    <t>@COST@@-555</t>
  </si>
  <si>
    <t>Vanguard S&amp;P 500 UCITS ETF@BUY@239@-10872.83</t>
  </si>
  <si>
    <t>ETFS All Commodities@BUY@326@-2439.13</t>
  </si>
  <si>
    <t>iShares USD Treasury Bond 20+yr UCITS ETF@COST@@-4.09</t>
  </si>
  <si>
    <t>iShares USD Treasury Bond 20+yr UCITS ETF@BUY@2786@-10463.08</t>
  </si>
  <si>
    <t>iShares USD Treasury Bond 7-10yr UCITS ETF USD Dist@BUY@16@-2620.96</t>
  </si>
  <si>
    <t>@APPROVISIONNEMENT@@6060</t>
  </si>
  <si>
    <t>iShares USD Treasury Bond 20+yr UCITS ETF@COST@@-2.82</t>
  </si>
  <si>
    <t>iShares USD Treasury Bond 20+yr UCITS ETF@SELL@-1106@4101.58</t>
  </si>
  <si>
    <t>iShares USD Treasury Bond 7-10yr UCITS ETF USD Dist@SELL@-11@1765.17</t>
  </si>
  <si>
    <t>Vanguard S&amp;P 500 UCITS ETF@BUY@55@-2494.42</t>
  </si>
  <si>
    <t>iShares USD Treasury Bond 20+yr UCITS ETF@COST@@-4.42</t>
  </si>
  <si>
    <t>iShares USD Treasury Bond 20+yr UCITS ETF@SELL@-3258@12076.62</t>
  </si>
  <si>
    <t>ETFS Physical Gold@SELL@-10@1006.1</t>
  </si>
  <si>
    <t>iShares USD Treasury Bond 7-10yr UCITS ETF USD Dist@SELL@-13@2085.07</t>
  </si>
  <si>
    <t>ETFS All Commodities@SELL@-32@243.42</t>
  </si>
  <si>
    <t>ETFS All Commodities@COST@@-2.05</t>
  </si>
  <si>
    <t>Vanguard S&amp;P 500 UCITS ETF@DIVIDEND@@-136.05</t>
  </si>
  <si>
    <t>Vanguard S&amp;P 500 UCITS ETF@DIVIDEND@@1024.7</t>
  </si>
  <si>
    <t>ETFS Physical Gold@SELL@-9@899.01</t>
  </si>
  <si>
    <t>ETFS All Commodities@SELL@-238@1852.59</t>
  </si>
  <si>
    <t>iShares USD Treasury Bond 7-10yr UCITS ETF USD Dist@SELL@-5@805.3</t>
  </si>
  <si>
    <t>iShares USD Treasury Bond 20+yr UCITS ETF@COST@@-3.76</t>
  </si>
  <si>
    <t>iShares USD Treasury Bond 20+yr UCITS ETF@BUY@2361@-8808.53</t>
  </si>
  <si>
    <t>@COST@@-501.62</t>
  </si>
  <si>
    <t>Vanguard S&amp;P 500 UCITS ETF@SELL@-30@1418.64</t>
  </si>
  <si>
    <t>ETFS All Commodities@SELL@-225@1658.92</t>
  </si>
  <si>
    <t>ETFS Physical Gold@SELL@-12@1170.36</t>
  </si>
  <si>
    <t>Vanguard S&amp;P 500 UCITS ETF@SELL@-30@1421.55</t>
  </si>
  <si>
    <t>ETFS All Commodities@SELL@-250@1815.25</t>
  </si>
  <si>
    <t>Vanguard S&amp;P 500 UCITS ETF@SELL@-45@2132.37</t>
  </si>
  <si>
    <t>iShares USD Treasury Bond 20+yr UCITS ETF@COST@@-2.54</t>
  </si>
  <si>
    <t>iShares USD Treasury Bond 20+yr UCITS ETF@BUY@717@-2693.88</t>
  </si>
  <si>
    <t>iShares USD Treasury Bond 20+yr UCITS ETF@COST@@-2.4</t>
  </si>
  <si>
    <t>iShares USD Treasury Bond 20+yr UCITS ETF@BUY@525@-2000.72</t>
  </si>
  <si>
    <t>@APPROVISIONNEMENT@@440</t>
  </si>
  <si>
    <t>@APPROVISIONNEMENT@@-500</t>
  </si>
  <si>
    <t>Vanguard Extended Duration Treasury ETF</t>
  </si>
  <si>
    <t>Vanguard Extended Duration Treasury ETF@DIVIDEND@@-12.85</t>
  </si>
  <si>
    <t>Vanguard Extended Duration Treasury ETF@DIVIDEND@@91.39</t>
  </si>
  <si>
    <t>iShares USD Treasury Bond 20+yr UCITS ETF@COST@@-2.26</t>
  </si>
  <si>
    <t>iShares USD Treasury Bond 20+yr UCITS ETF@BUY@336@-1301.59</t>
  </si>
  <si>
    <t>@COST@@-573.99</t>
  </si>
  <si>
    <t>ETFS Physical Gold@BUY@12@-1180.08</t>
  </si>
  <si>
    <t>ETFS All Commodities@BUY@305@-2214.3</t>
  </si>
  <si>
    <t>iShares USD Treasury Bond 7-10yr UCITS ETF USD Dist@BUY@8@-1298.72</t>
  </si>
  <si>
    <t>iShares USD Treasury Bond 20+yr UCITS ETF@COST@@-2.39</t>
  </si>
  <si>
    <t>iShares USD Treasury Bond 20+yr UCITS ETF@BUY@500@-1945.61</t>
  </si>
  <si>
    <t>iShares USD Treasury Bond 20+yr UCITS ETF@COST@@-3.15</t>
  </si>
  <si>
    <t>iShares USD Treasury Bond 20+yr UCITS ETF@BUY@1478@-5742.57</t>
  </si>
  <si>
    <t>iShares USD Treasury Bond 7-10yr UCITS ETF USD Dist@BUY@8@-1297.12</t>
  </si>
  <si>
    <t>iShares USD Treasury Bond 20+yr UCITS ETF@COST@@-2.9</t>
  </si>
  <si>
    <t>iShares USD Treasury Bond 20+yr UCITS ETF@BUY@1154@-4500.42</t>
  </si>
  <si>
    <t>Vanguard S&amp;P 500 UCITS ETF@BUY@84@-3969.17</t>
  </si>
  <si>
    <t>ETFS All Commodities@BUY@443@-3259.59</t>
  </si>
  <si>
    <t>iShares USD Treasury Bond 7-10yr UCITS ETF USD Dist@BUY@19@-3115.81</t>
  </si>
  <si>
    <t>ETFS Physical Gold@BUY@31@-3080.16</t>
  </si>
  <si>
    <t>@COST@@-467.55</t>
  </si>
  <si>
    <t>iShares USD Treasury Bond 20+yr UCITS ETF@COST@@-5.12</t>
  </si>
  <si>
    <t>iShares USD Treasury Bond 20+yr UCITS ETF@BUY@4074@-15601.5</t>
  </si>
  <si>
    <t>Vanguard S&amp;P 500 UCITS ETF@BUY@226@-10277.8</t>
  </si>
  <si>
    <t>ETFS All Commodities@BUY@203@-1503.01</t>
  </si>
  <si>
    <t>iShares USD Treasury Bond 7-10yr UCITS ETF USD Dist@BUY@36@-5769.72</t>
  </si>
  <si>
    <t>ETFS Physical Gold@BUY@29@-2893.33</t>
  </si>
  <si>
    <t>iShares USD Treasury Bond 20+yr UCITS ETF@COST@@-25.99</t>
  </si>
  <si>
    <t>iShares USD Treasury Bond 20+yr UCITS ETF@BUY@31102@-119971.61</t>
  </si>
  <si>
    <t>Vanguard S&amp;P 500 UCITS ETF@BUY@1926@-87292.1</t>
  </si>
  <si>
    <t>iShares USD Treasury Bond 7-10yr UCITS ETF USD Dist@BUY@273@-43912.05</t>
  </si>
  <si>
    <t>ETFS All Commodities@BUY@3336@-24362.81</t>
  </si>
  <si>
    <t>ETFS Physical Gold@BUY@235@-23911.25</t>
  </si>
  <si>
    <t>@APPROVISIONNEMENT@@108000</t>
  </si>
  <si>
    <t>Vanguard S&amp;P 500 UCITS ETF@DIVIDEND@@-72.97</t>
  </si>
  <si>
    <t>@COST@@-276.19</t>
  </si>
  <si>
    <t>Vanguard S&amp;P 500 UCITS ETF@DIVIDEND@@501.26</t>
  </si>
  <si>
    <t>iShares USD Treasury Bond 20+yr UCITS ETF@DIVIDEND@@-0.04</t>
  </si>
  <si>
    <t>iShares USD Treasury Bond 20+yr UCITS ETF@DIVIDEND@@-329.67</t>
  </si>
  <si>
    <t>iShares USD Treasury Bond 20+yr UCITS ETF@DIVIDEND@@2415.73</t>
  </si>
  <si>
    <t>ETFS All Commodities@BUY@897@-6967.9</t>
  </si>
  <si>
    <t>ETFS Physical Gold@BUY@68@-7162.44</t>
  </si>
  <si>
    <t>Vanguard S&amp;P 500 UCITS ETF@BUY@630@-28172.34</t>
  </si>
  <si>
    <t>iShares USD Treasury Bond 20+yr UCITS ETF@COST@@-10.09</t>
  </si>
  <si>
    <t>iShares USD Treasury Bond 20+yr UCITS ETF@BUY@10452@-40435.8</t>
  </si>
  <si>
    <t>iShares USD Treasury Bond 7-10yr UCITS ETF USD Dist@BUY@93@-14853.03</t>
  </si>
  <si>
    <t>@APPROVISIONNEMENT@@25000</t>
  </si>
  <si>
    <t>@COST@@-2.5</t>
  </si>
  <si>
    <t>@COST@@-161.46</t>
  </si>
  <si>
    <t>ETFS All Commodities@BUY@163@-1271.4</t>
  </si>
  <si>
    <t>iShares USD Treasury Bond 20+yr UCITS ETF@COST@@-3.82</t>
  </si>
  <si>
    <t>iShares USD Treasury Bond 20+yr UCITS ETF@BUY@2338@-9076.29</t>
  </si>
  <si>
    <t>ETFS All Commodities@BUY@479@-3736.68</t>
  </si>
  <si>
    <t>iShares USD Treasury Bond 7-10yr UCITS ETF USD Dist@BUY@23@-3677.01</t>
  </si>
  <si>
    <t>Vanguard S&amp;P 500 UCITS ETF@BUY@93@-4143.15</t>
  </si>
  <si>
    <t>iShares USD Treasury Bond 20+yr UCITS ETF@COST@@-2.96</t>
  </si>
  <si>
    <t>iShares USD Treasury Bond 20+yr UCITS ETF@BUY@1235@-4793.1</t>
  </si>
  <si>
    <t>Vanguard S&amp;P 500 UCITS ETF@BUY@88@-3919.43</t>
  </si>
  <si>
    <t>iShares USD Treasury Bond 7-10yr UCITS ETF USD Dist@BUY@13@-2077.66</t>
  </si>
  <si>
    <t>ETFS Physical Gold@BUY@11@-1162.92</t>
  </si>
  <si>
    <t>iShares USD Treasury Bond 7-10yr UCITS ETF USD Dist@DIVIDEND@@471.2</t>
  </si>
  <si>
    <t>iShares USD Treasury Bond 7-10yr UCITS ETF USD Dist@DIVIDEND@@-68.59</t>
  </si>
  <si>
    <t>Vanguard Intermediate-Term Treasury ETF</t>
  </si>
  <si>
    <t>Vanguard Intermediate-Term Treasury ETF@DIVIDEND@@-7.01000000000001</t>
  </si>
  <si>
    <t>Vanguard Intermediate-Term Treasury ETF@DIVIDEND@@42.49</t>
  </si>
  <si>
    <t>iShares USD Treasury Bond 20+yr UCITS ETF@COST@@-5.42</t>
  </si>
  <si>
    <t>iShares USD Treasury Bond 20+yr UCITS ETF@BUY@4546@-17125.03</t>
  </si>
  <si>
    <t>iShares USD Treasury Bond 7-10yr UCITS ETF USD Dist@BUY@19@-3002.19</t>
  </si>
  <si>
    <t>@COST@@-140.97</t>
  </si>
  <si>
    <t>Vanguard Extended Duration Treasury ETF@SELL@-707@65853.53</t>
  </si>
  <si>
    <t>iShares USD Treasury Bond 20+yr UCITS ETF@COST@@-17.04</t>
  </si>
  <si>
    <t>iShares USD Treasury Bond 20+yr UCITS ETF@BUY@20019@-75232.62</t>
  </si>
  <si>
    <t>Vanguard S&amp;P 500 UCITS ETF@BUY@85@-3579.35</t>
  </si>
  <si>
    <t>iShares USD Treasury Bond 7-10yr UCITS ETF USD Dist@BUY@16@-2530.72</t>
  </si>
  <si>
    <t>ETFS Physical Gold@BUY@39@-4104.36</t>
  </si>
  <si>
    <t>iShares Gold Trust</t>
  </si>
  <si>
    <t>iShares Gold Trust@SELL@-1319@13885.34</t>
  </si>
  <si>
    <t>ETFS Physical Gold@BUY@144@-15143.25</t>
  </si>
  <si>
    <t>ETFS All Commodities@SELL@-180@1361.88</t>
  </si>
  <si>
    <t>Vanguard Intermediate-Term Treasury ETF@COST@@-7.14</t>
  </si>
  <si>
    <t>Vanguard Intermediate-Term Treasury ETF@SELL@-493@25668.61</t>
  </si>
  <si>
    <t>iShares USD Treasury Bond 7-10yr UCITS ETF USD Dist@BUY@185@-29268.85</t>
  </si>
  <si>
    <t>ETFS All Commodities@SELL@-1893@14104.74</t>
  </si>
  <si>
    <t>Vanguard S&amp;P 500 UCITS ETF@SELL@-449@18845.44</t>
  </si>
  <si>
    <t>Vanguard S&amp;P 500 UCITS ETF@DIVIDEND@@7.05</t>
  </si>
  <si>
    <t>Vanguard Intermediate-Term Treasury ETF@DIVIDEND@@-7.05</t>
  </si>
  <si>
    <t>Vanguard S&amp;P 500 UCITS ETF@DIVIDEND@@-86.57</t>
  </si>
  <si>
    <t>Vanguard Intermediate-Term Treasury ETF@DIVIDEND@@43.62</t>
  </si>
  <si>
    <t>Vanguard S&amp;P 500 UCITS ETF@DIVIDEND@@420.27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</si>
  <si>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</si>
  <si>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</si>
  <si>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</si>
  <si>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</si>
  <si>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ETF@DIVIDEND@@476.2</t>
  </si>
  <si>
    <t>Vanguard Intermediate-Term Treasury ETF@DIVIDEND@@-7.17</t>
  </si>
  <si>
    <t>Vanguard Intermediate-Term Treasury ETF@DIVIDEND@@38.09</t>
  </si>
  <si>
    <t>@COST@@-166.36</t>
  </si>
  <si>
    <t>Vanguard S&amp;P 500 UCITS ETF@SELL@-30@1227.93</t>
  </si>
  <si>
    <t>Vanguard S&amp;P 500 UCITS ETF@SELL@-60@2457.66</t>
  </si>
  <si>
    <t>Vanguard S&amp;P 500 UCITS ETF@SELL@-30@1228.98</t>
  </si>
  <si>
    <t>Vanguard S&amp;P 500 UCITS ETF@SELL@-30@1229.58</t>
  </si>
  <si>
    <t>Vanguard Intermediate-Term Treasury ETF@DIVIDEND@@-7.02</t>
  </si>
  <si>
    <t>Vanguard Intermediate-Term Treasury ETF@DIVIDEND@@37.88</t>
  </si>
  <si>
    <t>Vanguard S&amp;P 500 UCITS ETF@SELL@-77@3229.86</t>
  </si>
  <si>
    <t>Vanguard S&amp;P 500 UCITS ETF@SELL@-98@4117.08</t>
  </si>
  <si>
    <t>Vanguard S&amp;P 500 UCITS ETF@SELL@-240@10048.32</t>
  </si>
  <si>
    <t>Vanguard S&amp;P 500 UCITS ETF@SELL@-38@1590.24</t>
  </si>
  <si>
    <t>Vanguard S&amp;P 500 UCITS ETF@SELL@-30@1253.76</t>
  </si>
  <si>
    <t>Vanguard S&amp;P 500 UCITS ETF@SELL@-45@1881.5</t>
  </si>
  <si>
    <t>Vanguard S&amp;P 500 UCITS ETF@SELL@-50@2089.8</t>
  </si>
  <si>
    <t>Vanguard S&amp;P 500 UCITS ETF@SELL@-20@835.92</t>
  </si>
  <si>
    <t>Vanguard S&amp;P 500 UCITS ETF@COST@@-2.17</t>
  </si>
  <si>
    <t>Vanguard S&amp;P 500 UCITS ETF@SELL@-10@417.96</t>
  </si>
  <si>
    <t>Vanguard S&amp;P 500 UCITS ETF@COST@@-2.08</t>
  </si>
  <si>
    <t>@COST@@0.02</t>
  </si>
  <si>
    <t>@COST@@-193.75</t>
  </si>
  <si>
    <t>@COST@@-7.5</t>
  </si>
  <si>
    <t>ETFS All Commodities@BUY@1375@-10106.25</t>
  </si>
  <si>
    <t>Vanguard S&amp;P 500 UCITS ETF@BUY@937@-40581.47</t>
  </si>
  <si>
    <t>@COST@@0.05</t>
  </si>
  <si>
    <t>ETFS All Commodities@BUY@860@-6359.7</t>
  </si>
  <si>
    <t>Vanguard S&amp;P 500 UCITS ETF@BUY@615@-26713.14</t>
  </si>
  <si>
    <t>Vanguard S&amp;P 500 UCITS ETF@DIVIDEND@@-42.4</t>
  </si>
  <si>
    <t>Vanguard S&amp;P 500 UCITS ETF@DIVIDEND@@259.89</t>
  </si>
  <si>
    <t>@APPROVISIONNEMENT@@30000</t>
  </si>
  <si>
    <t>Vanguard Intermediate-Term Treasury ETF@DIVIDEND@@-132.32</t>
  </si>
  <si>
    <t>@COST@@-127.19</t>
  </si>
  <si>
    <t>Vanguard Extended Duration Treasury ETF@DIVIDEND@@519.88</t>
  </si>
  <si>
    <t>Vanguard Extended Duration Treasury ETF@DIVIDEND@@208.14</t>
  </si>
  <si>
    <t>Vanguard Intermediate-Term Treasury ETF@DIVIDEND@@43.79</t>
  </si>
  <si>
    <t>Vanguard S&amp;P 500 UCITS ETF@SELL@-26@1114.05</t>
  </si>
  <si>
    <t>Vanguard S&amp;P 500 UCITS ETF@COST@@-2.22</t>
  </si>
  <si>
    <t>Vanguard Extended Duration Treasury ETF@BUY@11@-1094.1</t>
  </si>
  <si>
    <t>ETFS All Commodities@BUY@311@-2246.97</t>
  </si>
  <si>
    <t>Vanguard S&amp;P 500 UCITS ETF@BUY@206@-8845.64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</si>
  <si>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</si>
  <si>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</si>
  <si>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</si>
  <si>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</si>
  <si>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</si>
  <si>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</si>
  <si>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</si>
  <si>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</si>
  <si>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</si>
  <si>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</si>
  <si>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</si>
  <si>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Intermediate-Term Treasury ETF@DIVIDEND@@28.53</t>
  </si>
  <si>
    <t>Vanguard S&amp;P 500 UCITS ETF@BUY@48@-2044.75</t>
  </si>
  <si>
    <t>Vanguard Intermediate-Term Treasury ETF@COST@@-2.31</t>
  </si>
  <si>
    <t>ETFS All Commodities@BUY@132@-1013.1</t>
  </si>
  <si>
    <t>Vanguard Extended Duration Treasury ETF@BUY@27@-2798.71</t>
  </si>
  <si>
    <t>iShares Gold Trust@BUY@64@-680.11</t>
  </si>
  <si>
    <t>Vanguard Intermediate-Term Treasury ETF@BUY@28@-1561.34</t>
  </si>
  <si>
    <t>@COST@@-93.75</t>
  </si>
  <si>
    <t>Vanguard Intermediate-Term Treasury ETF@DIVIDEND@@-4.5</t>
  </si>
  <si>
    <t>Vanguard S&amp;P 500 UCITS ETF@DIVIDEND@@-26.14</t>
  </si>
  <si>
    <t>Vanguard Intermediate-Term Treasury ETF@DIVIDEND@@30.34</t>
  </si>
  <si>
    <t>Vanguard S&amp;P 500 UCITS ETF@DIVIDEND@@178.2</t>
  </si>
  <si>
    <t>Vanguard Extended Duration Treasury ETF@DIVIDEND@@-54.04</t>
  </si>
  <si>
    <t>Vanguard Intermediate-Term Treasury ETF@COST@@-2.18</t>
  </si>
  <si>
    <t>Vanguard S&amp;P 500 UCITS ETF@BUY@25@-1021.42</t>
  </si>
  <si>
    <t>ETFS All Commodities@BUY@174@-1253.67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</si>
  <si>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</si>
  <si>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</si>
  <si>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</si>
  <si>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ETF@DIVIDEND@@359.13</t>
  </si>
  <si>
    <t>@COST@@-86.11</t>
  </si>
  <si>
    <t>@APPROVISIONNEMENT@@-2000</t>
  </si>
  <si>
    <t>Vanguard S&amp;P 500 UCITS ETF@BUY@72@-2878.78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</si>
  <si>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</si>
  <si>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</si>
  <si>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</si>
  <si>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</si>
  <si>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</si>
  <si>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</si>
  <si>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ETF@DIVIDEND@@-4</t>
  </si>
  <si>
    <t>Vanguard Intermediate-Term Treasury ETF@DIVIDEND@@23.49</t>
  </si>
  <si>
    <t>@COST@@-78.9</t>
  </si>
  <si>
    <t>Vanguard S&amp;P 500 UCITS ETF@BUY@57@-2263.53</t>
  </si>
  <si>
    <t>Vanguard Extended Duration Treasury ETF@BUY@23@-2327.77</t>
  </si>
  <si>
    <t>Vanguard Intermediate-Term Treasury ETF@COST@@-0.8</t>
  </si>
  <si>
    <t>Vanguard Intermediate-Term Treasury ETF@BUY@21@-1152.82</t>
  </si>
  <si>
    <t>ETFS All Commodities@BUY@83@-598.84</t>
  </si>
  <si>
    <t>iShares Gold Trust@BUY@26@-278.32</t>
  </si>
  <si>
    <t>Vanguard Intermediate-Term Treasury ETF@DIVIDEND@@-3.14</t>
  </si>
  <si>
    <t>Vanguard Intermediate-Term Treasury ETF@DIVIDEND@@20.91</t>
  </si>
  <si>
    <t>ETFS All Commodities@BUY@67@-475.7</t>
  </si>
  <si>
    <t>Vanguard S&amp;P 500 UCITS ETF@BUY@45@-1783.44</t>
  </si>
  <si>
    <t>@COST@@-5</t>
  </si>
  <si>
    <t>@COST@@-66.68</t>
  </si>
  <si>
    <t>Vanguard Extended Duration Treasury ETF@BUY@31@-3080.45</t>
  </si>
  <si>
    <t>Vanguard Intermediate-Term Treasury ETF@BUY@21@-1148.78</t>
  </si>
  <si>
    <t>iShares Gold Trust@BUY@41@-422.98</t>
  </si>
  <si>
    <t>iShares 7-10 Year Treasury Bond ETF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</si>
  <si>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</si>
  <si>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</si>
  <si>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</si>
  <si>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</si>
  <si>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</si>
  <si>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</si>
  <si>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@COST@@-55.33</t>
  </si>
  <si>
    <t>ETFS All Commodities@BUY@1096@-8220</t>
  </si>
  <si>
    <t>Vanguard S&amp;P 500 UCITS ETF@BUY@804@-32516.18</t>
  </si>
  <si>
    <t>iShares Diversified Commodity Swap UCITS ETF DE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</si>
  <si>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</si>
  <si>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</si>
  <si>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</si>
  <si>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</t>
  </si>
  <si>
    <t>Vanguard Total Stock Market ETF@SELL@-251@27592.74</t>
  </si>
  <si>
    <t>Vanguard Extended Duration Treasury ETF@BUY@67@-6959.73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</si>
  <si>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</si>
  <si>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</si>
  <si>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</si>
  <si>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</si>
  <si>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</si>
  <si>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</si>
  <si>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</si>
  <si>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</si>
  <si>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</si>
  <si>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</si>
  <si>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</si>
  <si>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</si>
  <si>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</si>
  <si>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</si>
  <si>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</si>
  <si>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</si>
  <si>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</si>
  <si>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</si>
  <si>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</si>
  <si>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</si>
  <si>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</si>
  <si>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</si>
  <si>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</si>
  <si>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</si>
  <si>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</si>
  <si>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Progression</t>
  </si>
  <si>
    <t>Evolution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</si>
  <si>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</si>
  <si>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</si>
  <si>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</si>
  <si>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</si>
  <si>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</si>
  <si>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</si>
  <si>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</si>
  <si>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</si>
  <si>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</si>
  <si>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</si>
  <si>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</si>
  <si>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</si>
  <si>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FRANCE TELECOM</t>
  </si>
  <si>
    <t>VIVENDI</t>
  </si>
  <si>
    <t>Ticker</t>
  </si>
  <si>
    <t>Mkt code</t>
  </si>
  <si>
    <t>Free ETF</t>
  </si>
  <si>
    <t>Isin</t>
  </si>
  <si>
    <t>Incep Date</t>
  </si>
  <si>
    <t>Avg Return</t>
  </si>
  <si>
    <t>Div Yield</t>
  </si>
  <si>
    <t>Exp Ratio</t>
  </si>
  <si>
    <t>Change</t>
  </si>
  <si>
    <t>Div Reported</t>
  </si>
  <si>
    <t>Result</t>
  </si>
  <si>
    <t>Status</t>
  </si>
  <si>
    <t>TLT</t>
  </si>
  <si>
    <t>NASDAQ</t>
  </si>
  <si>
    <t>X</t>
  </si>
  <si>
    <t>US4642874329</t>
  </si>
  <si>
    <t>iShares 20+ Year Treasury Bond ETF</t>
  </si>
  <si>
    <t>PEUGEOT</t>
  </si>
  <si>
    <t>OK</t>
  </si>
  <si>
    <t>3 Month Return4.59%</t>
  </si>
  <si>
    <t>YTD Return--</t>
  </si>
  <si>
    <t>1 Year Return-1.61%</t>
  </si>
  <si>
    <t>3 Year Return2.81%</t>
  </si>
  <si>
    <t>5 Year Return6.32%</t>
  </si>
  <si>
    <t>Nav (On 12/31/2018)121.01</t>
  </si>
  <si>
    <t>Total Assets (M USD) (On 12/31/2018)8,761.362</t>
  </si>
  <si>
    <t>Inception Date07/26/2002</t>
  </si>
  <si>
    <t>Premium/Discount0.41%</t>
  </si>
  <si>
    <t>Average 52-week Premium0.03%</t>
  </si>
  <si>
    <t>Last Dividend Reported0.281892</t>
  </si>
  <si>
    <t>Dividend Indicated Gross Yield2.78%</t>
  </si>
  <si>
    <t>Front Load Fee--</t>
  </si>
  <si>
    <t>Back Load Fee--</t>
  </si>
  <si>
    <t>Redemption Fee--</t>
  </si>
  <si>
    <t>12B-1 Fee--</t>
  </si>
  <si>
    <t>Current Mgmt Fee0.15%</t>
  </si>
  <si>
    <t>Expense Ratio0.15%</t>
  </si>
  <si>
    <t>TBF</t>
  </si>
  <si>
    <t>NYSEARCA</t>
  </si>
  <si>
    <t>US74347X8496</t>
  </si>
  <si>
    <t>ProShares Short 20+ Year Treasury</t>
  </si>
  <si>
    <t>CREDIT AGRICOLE</t>
  </si>
  <si>
    <t>3 Month Return-3.95%</t>
  </si>
  <si>
    <t>1 Year Return3.25%</t>
  </si>
  <si>
    <t>3 Year Return-2.98%</t>
  </si>
  <si>
    <t>5 Year Return-7.24%</t>
  </si>
  <si>
    <t>Nav (On 12/31/2018)22.49</t>
  </si>
  <si>
    <t>Total Assets (M USD) (On 12/31/2018)429.498</t>
  </si>
  <si>
    <t>Inception Date08/20/2009</t>
  </si>
  <si>
    <t>Premium/Discount-0.44%</t>
  </si>
  <si>
    <t>Average 52-week Premium-0.02%</t>
  </si>
  <si>
    <t>Last Dividend Reported0.086957</t>
  </si>
  <si>
    <t>Dividend Indicated Gross Yield1.55%</t>
  </si>
  <si>
    <t>Current Mgmt Fee0.75%</t>
  </si>
  <si>
    <t>Expense Ratio0.94%</t>
  </si>
  <si>
    <t>TBT</t>
  </si>
  <si>
    <t>US74347B2016</t>
  </si>
  <si>
    <t>ProShares UltraShort 20+ Year Treasury</t>
  </si>
  <si>
    <t>3 Month Return-7.97%</t>
  </si>
  <si>
    <t>1 Year Return4.98%</t>
  </si>
  <si>
    <t>3 Year Return-6.98%</t>
  </si>
  <si>
    <t>5 Year Return-14.84%</t>
  </si>
  <si>
    <t>Nav (On 12/31/2018)35.36</t>
  </si>
  <si>
    <t>Total Assets (M USD) (On 12/31/2018)1,211.244</t>
  </si>
  <si>
    <t>Inception Date05/01/2008</t>
  </si>
  <si>
    <t>Premium/Discount-0.65%</t>
  </si>
  <si>
    <t>Last Dividend Reported0.146708</t>
  </si>
  <si>
    <t>Dividend Indicated Gross Yield1.67%</t>
  </si>
  <si>
    <t>Expense Ratio0.92%</t>
  </si>
  <si>
    <t>EDV</t>
  </si>
  <si>
    <t>VEOLIA ENVIRON</t>
  </si>
  <si>
    <t>US9219107094</t>
  </si>
  <si>
    <t>3 Month Return5.35%</t>
  </si>
  <si>
    <t>1 Year Return-3.39%</t>
  </si>
  <si>
    <t>3 Year Return3.82%</t>
  </si>
  <si>
    <t>5 Year Return9.02%</t>
  </si>
  <si>
    <t>Nav (On 12/31/2018)112.51</t>
  </si>
  <si>
    <t>Total Assets (M USD) (On 12/31/2018)689.124</t>
  </si>
  <si>
    <t>Inception Date12/13/2007</t>
  </si>
  <si>
    <t>Premium/Discount0.84%</t>
  </si>
  <si>
    <t>Average 52-week Premium0.51%</t>
  </si>
  <si>
    <t>Last Dividend Reported0.8253</t>
  </si>
  <si>
    <t>Dividend Indicated Gross Yield2.91%</t>
  </si>
  <si>
    <t>Current Mgmt Fee0.07%</t>
  </si>
  <si>
    <t>Expense Ratio0.07%</t>
  </si>
  <si>
    <t>LON</t>
  </si>
  <si>
    <t>3 Month Return3.87%</t>
  </si>
  <si>
    <t>YTD Return0.69%</t>
  </si>
  <si>
    <t>1 Year Return-1.83%</t>
  </si>
  <si>
    <t>3 Year Return2.61%</t>
  </si>
  <si>
    <t>5 Year Return--</t>
  </si>
  <si>
    <t>Nav (On 12/31/2018)4.52</t>
  </si>
  <si>
    <t>Total Assets (M USD) (On 12/31/2018)485.286</t>
  </si>
  <si>
    <t>Inception Date01/21/2015</t>
  </si>
  <si>
    <t>Premium/Discount-0.03%</t>
  </si>
  <si>
    <t>Average 52-week Premium0.02%</t>
  </si>
  <si>
    <t>Last Dividend Reported0.0634</t>
  </si>
  <si>
    <t>Dividend Indicated Gross Yield2.80%</t>
  </si>
  <si>
    <t>Current Mgmt Fee0.20%</t>
  </si>
  <si>
    <t>Expense Ratio0.2%</t>
  </si>
  <si>
    <t>VWO</t>
  </si>
  <si>
    <t>US9220428588</t>
  </si>
  <si>
    <t>Vanguard FTSE Emerging Markets ETF</t>
  </si>
  <si>
    <t>3 Month Return-6.43%</t>
  </si>
  <si>
    <t>1 Year Return-14.77%</t>
  </si>
  <si>
    <t>3 Year Return7.93%</t>
  </si>
  <si>
    <t>5 Year Return1.13%</t>
  </si>
  <si>
    <t>Nav (On 12/31/2018)38.18</t>
  </si>
  <si>
    <t>Total Assets (M USD) (On 12/31/2018)55,252.035</t>
  </si>
  <si>
    <t>Inception Date03/10/2005</t>
  </si>
  <si>
    <t>Premium/Discount-0.21%</t>
  </si>
  <si>
    <t>Average 52-week Premium0.01%</t>
  </si>
  <si>
    <t>Last Dividend Reported0.2591</t>
  </si>
  <si>
    <t>Dividend Indicated Gross Yield2.72%</t>
  </si>
  <si>
    <t>Expense Ratio0.14%</t>
  </si>
  <si>
    <t>QUAL</t>
  </si>
  <si>
    <t>BATS</t>
  </si>
  <si>
    <t>US46432F3394</t>
  </si>
  <si>
    <t>iShares Edge MSCI USA Quality Factor ETF</t>
  </si>
  <si>
    <t>3 Month Return-14.61%</t>
  </si>
  <si>
    <t>1 Year Return-5.68%</t>
  </si>
  <si>
    <t>3 Year Return7.98%</t>
  </si>
  <si>
    <t>5 Year Return8.20%</t>
  </si>
  <si>
    <t>Nav (On 12/31/2018)76.65</t>
  </si>
  <si>
    <t>Total Assets (M USD) (On 12/31/2018)6,722.188</t>
  </si>
  <si>
    <t>Inception Date07/18/2013</t>
  </si>
  <si>
    <t>Premium/Discount0.14%</t>
  </si>
  <si>
    <t>Last Dividend Reported0.412241</t>
  </si>
  <si>
    <t>Dividend Indicated Gross Yield2.15%</t>
  </si>
  <si>
    <t>SCHD</t>
  </si>
  <si>
    <t>US8085247976</t>
  </si>
  <si>
    <t>Schwab US Dividend Equity ETF</t>
  </si>
  <si>
    <t>3 Month Return-10.64%</t>
  </si>
  <si>
    <t>1 Year Return-5.56%</t>
  </si>
  <si>
    <t>3 Year Return9.93%</t>
  </si>
  <si>
    <t>5 Year Return8.14%</t>
  </si>
  <si>
    <t>Nav (On 12/31/2018)46.98</t>
  </si>
  <si>
    <t>Total Assets (M USD) (On 12/31/2018)7,671.313</t>
  </si>
  <si>
    <t>Inception Date10/20/2011</t>
  </si>
  <si>
    <t>Premium/Discount-0.01%</t>
  </si>
  <si>
    <t>Last Dividend Reported0.4054</t>
  </si>
  <si>
    <t>Dividend Indicated Gross Yield3.45%</t>
  </si>
  <si>
    <t>SPY</t>
  </si>
  <si>
    <t>US78462F1030</t>
  </si>
  <si>
    <t>SPDR S&amp;P 500 ETF Trust</t>
  </si>
  <si>
    <t>3 Month Return-13.52%</t>
  </si>
  <si>
    <t>1 Year Return-4.56%</t>
  </si>
  <si>
    <t>3 Year Return9.16%</t>
  </si>
  <si>
    <t>5 Year Return8.36%</t>
  </si>
  <si>
    <t>Nav (On 12/31/2018)249.92</t>
  </si>
  <si>
    <t>Total Assets (M USD) (On 12/31/2018)240,106.438</t>
  </si>
  <si>
    <t>Inception Date01/22/1993</t>
  </si>
  <si>
    <t>Premium/Discount-0.00%</t>
  </si>
  <si>
    <t>Average 52-week Premium0.00%</t>
  </si>
  <si>
    <t>Last Dividend Reported1.435429</t>
  </si>
  <si>
    <t>Dividend Indicated Gross Yield2.30%</t>
  </si>
  <si>
    <t>12B-1 Fee0.01%</t>
  </si>
  <si>
    <t>Current Mgmt Fee0.09%</t>
  </si>
  <si>
    <t>Expense Ratio0.095%</t>
  </si>
  <si>
    <t>VOO</t>
  </si>
  <si>
    <t>US9229083632</t>
  </si>
  <si>
    <t>Vanguard S&amp;P 500 ETF</t>
  </si>
  <si>
    <t>3 Month Return-13.47%</t>
  </si>
  <si>
    <t>1 Year Return-4.50%</t>
  </si>
  <si>
    <t>3 Year Return9.25%</t>
  </si>
  <si>
    <t>5 Year Return8.45%</t>
  </si>
  <si>
    <t>Nav (On 12/31/2018)229.68</t>
  </si>
  <si>
    <t>Total Assets (M USD) (On 12/31/2018)90,518.727</t>
  </si>
  <si>
    <t>Inception Date09/09/2010</t>
  </si>
  <si>
    <t>Premium/Discount0.06%</t>
  </si>
  <si>
    <t>Last Dividend Reported1.289</t>
  </si>
  <si>
    <t>Dividend Indicated Gross Yield2.24%</t>
  </si>
  <si>
    <t>Current Mgmt Fee0.04%</t>
  </si>
  <si>
    <t>Expense Ratio0.04%</t>
  </si>
  <si>
    <t>SCHB</t>
  </si>
  <si>
    <t>US8085241029</t>
  </si>
  <si>
    <t>Schwab US Broad Market ETF</t>
  </si>
  <si>
    <t>3 Month Return-14.30%</t>
  </si>
  <si>
    <t>1 Year Return-5.30%</t>
  </si>
  <si>
    <t>3 Year Return8.93%</t>
  </si>
  <si>
    <t>5 Year Return7.90%</t>
  </si>
  <si>
    <t>Nav (On 12/31/2018)59.90</t>
  </si>
  <si>
    <t>Total Assets (M USD) (On 12/31/2018)12,138.211</t>
  </si>
  <si>
    <t>Inception Date11/03/2009</t>
  </si>
  <si>
    <t>Premium/Discount0.05%</t>
  </si>
  <si>
    <t>Last Dividend Reported0.0798</t>
  </si>
  <si>
    <t>Dividend Indicated Gross Yield0.53%</t>
  </si>
  <si>
    <t>Current Mgmt Fee0.03%</t>
  </si>
  <si>
    <t>Expense Ratio0.03%</t>
  </si>
  <si>
    <t>ITOT</t>
  </si>
  <si>
    <t>US4642871507</t>
  </si>
  <si>
    <t>3 Month Return-14.20%</t>
  </si>
  <si>
    <t>1 Year Return-5.31%</t>
  </si>
  <si>
    <t>3 Year Return8.97%</t>
  </si>
  <si>
    <t>5 Year Return8.09%</t>
  </si>
  <si>
    <t>Nav (On 12/31/2018)56.69</t>
  </si>
  <si>
    <t>Total Assets (M USD) (On 12/31/2018)15,188.441</t>
  </si>
  <si>
    <t>Inception Date01/23/2004</t>
  </si>
  <si>
    <t>Premium/Discount0.12%</t>
  </si>
  <si>
    <t>Last Dividend Reported0.060859</t>
  </si>
  <si>
    <t>Dividend Indicated Gross Yield0.43%</t>
  </si>
  <si>
    <t>VTI</t>
  </si>
  <si>
    <t>AVERAGE</t>
  </si>
  <si>
    <t>US9229087690</t>
  </si>
  <si>
    <t>1 Year Return-5.21%</t>
  </si>
  <si>
    <t>3 Year Return9.03%</t>
  </si>
  <si>
    <t>5 Year Return7.92%</t>
  </si>
  <si>
    <t>Nav (On 12/31/2018)127.56</t>
  </si>
  <si>
    <t>Total Assets (M USD) (On 12/31/2018)94,503.719</t>
  </si>
  <si>
    <t>Inception Date05/31/2001</t>
  </si>
  <si>
    <t>Last Dividend Reported0.7209</t>
  </si>
  <si>
    <t>Dividend Indicated Gross Yield2.26%</t>
  </si>
  <si>
    <t>USMV</t>
  </si>
  <si>
    <t>US46429B6974</t>
  </si>
  <si>
    <t>iShares Edge MSCI Min Vol USA ETF</t>
  </si>
  <si>
    <t>Bank</t>
  </si>
  <si>
    <t>Is Expense</t>
  </si>
  <si>
    <t>VIR SEPA POLE EMPLOI DR IDF ALLOCATAIRE</t>
  </si>
  <si>
    <t>Bourso</t>
  </si>
  <si>
    <t>3 Month Return-7.56%</t>
  </si>
  <si>
    <t>1 Year Return1.36%</t>
  </si>
  <si>
    <t>3 Year Return10.04%</t>
  </si>
  <si>
    <t>5 Year Return10.32%</t>
  </si>
  <si>
    <t>Nav (On 12/31/2018)52.39</t>
  </si>
  <si>
    <t>Total Assets (M USD) (On 12/31/2018)18,997.160</t>
  </si>
  <si>
    <t>Premium/Discount0.02%</t>
  </si>
  <si>
    <t>Last Dividend Reported0.032728</t>
  </si>
  <si>
    <t>Dividend Indicated Gross Yield0.25%</t>
  </si>
  <si>
    <t>VYM</t>
  </si>
  <si>
    <t>US9219464065</t>
  </si>
  <si>
    <t>Vanguard High Dividend Yield ETF</t>
  </si>
  <si>
    <t>VIR Cadeaux de Noel Florian</t>
  </si>
  <si>
    <t>Virement interne</t>
  </si>
  <si>
    <t>VIR SEPA DEFROCOURT Florian</t>
  </si>
  <si>
    <t>VIR Retrait Epargne</t>
  </si>
  <si>
    <t>PRLV SEPA CA CONSUMER FINANCE</t>
  </si>
  <si>
    <t>CARTE 04122018 95 CASTORAMA CB*9987</t>
  </si>
  <si>
    <t>VIR SEPA M LORTHIOIS BRUNO</t>
  </si>
  <si>
    <t>VIR Achat Castorama</t>
  </si>
  <si>
    <t>VIR SEPA Century 21</t>
  </si>
  <si>
    <t>VIR SEPA CAF DES YVELINES</t>
  </si>
  <si>
    <t>CARTE 30112018 E.LECLERC CB*9987</t>
  </si>
  <si>
    <t>CARTE 30112018 95 CASTORAMA CB*9987</t>
  </si>
  <si>
    <t>VIR Essence + Casto</t>
  </si>
  <si>
    <t>3 Month Return-9.55%</t>
  </si>
  <si>
    <t>1 Year Return-5.91%</t>
  </si>
  <si>
    <t>3 Year Return8.63%</t>
  </si>
  <si>
    <t>PRLV SEPA DIRECTION GENERALE DES FINANCE</t>
  </si>
  <si>
    <t>5 Year Return7.85%</t>
  </si>
  <si>
    <t>Nav (On 12/31/2018)77.93</t>
  </si>
  <si>
    <t>Total Assets (M USD) (On 12/31/2018)21,510.473</t>
  </si>
  <si>
    <t>Inception Date11/16/2006</t>
  </si>
  <si>
    <t>Premium/Discount0.08%</t>
  </si>
  <si>
    <t>VIR Moitie essence 12/11/18</t>
  </si>
  <si>
    <t>Last Dividend Reported0.7388</t>
  </si>
  <si>
    <t>Dividend Indicated Gross Yield3.79%</t>
  </si>
  <si>
    <t>SNCF</t>
  </si>
  <si>
    <t>Expense Ratio0.08%</t>
  </si>
  <si>
    <t>CARTE 09112018 78 LECLERC CB*9987</t>
  </si>
  <si>
    <t>IWV</t>
  </si>
  <si>
    <t>CARTE 09112018 78 LECLERC S/S CB*9987</t>
  </si>
  <si>
    <t>US4642876894</t>
  </si>
  <si>
    <t>iShares Russell 3000 ETF</t>
  </si>
  <si>
    <t>CARTE 09112018 95 CHATEAU AUVERS CB*9987</t>
  </si>
  <si>
    <t>CARTE 06112018 35 AMENDE RADAR W CB*9987</t>
  </si>
  <si>
    <t>VIR Amende</t>
  </si>
  <si>
    <t>*FRAIS AFFRAN. SERV. ENVOYER CHQ</t>
  </si>
  <si>
    <t>SERVICE ENVOYER CHQ Nº 0751521</t>
  </si>
  <si>
    <t>VIR SEPA De Giro Stichting</t>
  </si>
  <si>
    <t>VIR SEPA C.P.A.M. NIMES</t>
  </si>
  <si>
    <t>LA POSTE L780150</t>
  </si>
  <si>
    <t>VIR grobobo</t>
  </si>
  <si>
    <t>PRLV SEPA AVANSSUR</t>
  </si>
  <si>
    <t>*INT DEB AU 30/09/18</t>
  </si>
  <si>
    <t>VIR SEPA L Les deux rives conseil</t>
  </si>
  <si>
    <t>VIR Remboursement espece</t>
  </si>
  <si>
    <t>GOOGLE *SERVICES</t>
  </si>
  <si>
    <t>WIKIMEDIA 877-600-9454</t>
  </si>
  <si>
    <t>3 Month Return-14.25%</t>
  </si>
  <si>
    <t>1 Year Return-5.41%</t>
  </si>
  <si>
    <t>3 Year Return8.82%</t>
  </si>
  <si>
    <t>5 Year Return7.76%</t>
  </si>
  <si>
    <t>Nav (On 12/31/2018)146.82</t>
  </si>
  <si>
    <t>VIR SEPA STICHTING DEGIRO</t>
  </si>
  <si>
    <t>Total Assets (M USD) (On 12/31/2018)8,765.025</t>
  </si>
  <si>
    <t>Inception Date05/26/2000</t>
  </si>
  <si>
    <t>Premium/Discount0.07%</t>
  </si>
  <si>
    <t>VIR SEPA Florian Defrocourt</t>
  </si>
  <si>
    <t>Average 52-week Premium-0.00%</t>
  </si>
  <si>
    <t>Last Dividend Reported0.847029</t>
  </si>
  <si>
    <t>Dividend Indicated Gross Yield2.31%</t>
  </si>
  <si>
    <t>SCHR</t>
  </si>
  <si>
    <t>US8085248545</t>
  </si>
  <si>
    <t>Schwab Intermediate-Term U.S. Treasury ETF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</si>
  <si>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</si>
  <si>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</si>
  <si>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</si>
  <si>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</si>
  <si>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</si>
  <si>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</si>
  <si>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</si>
  <si>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</si>
  <si>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3 Month Return3.05%</t>
  </si>
  <si>
    <t>1 Year Return1.45%</t>
  </si>
  <si>
    <t>3 Year Return1.33%</t>
  </si>
  <si>
    <t>5 Year Return1.99%</t>
  </si>
  <si>
    <t>Nav (On 12/31/2018)52.89</t>
  </si>
  <si>
    <t>CHUOFOOD KUMAGETEN</t>
  </si>
  <si>
    <t>Total Assets (M USD) (On 12/31/2018)3,480.471</t>
  </si>
  <si>
    <t>Inception Date08/05/2010</t>
  </si>
  <si>
    <t>Premium/Discount0.10%</t>
  </si>
  <si>
    <t>Last Dividend Reported0.1005</t>
  </si>
  <si>
    <t>Dividend Indicated Gross Yield2.28%</t>
  </si>
  <si>
    <t>Current Mgmt Fee0.06%</t>
  </si>
  <si>
    <t>Expense Ratio0.06%</t>
  </si>
  <si>
    <t>AMS</t>
  </si>
  <si>
    <t>1.7 percent foreign ATM usage mark-up fee</t>
  </si>
  <si>
    <t>YUMETAUNHIROSHIMA(SHIY</t>
  </si>
  <si>
    <t>JAPANPOST BANK(630380)</t>
  </si>
  <si>
    <t>3 Month Return-12.36%</t>
  </si>
  <si>
    <t>YTD Return-1.27%</t>
  </si>
  <si>
    <t>1 Year Return-0.37%</t>
  </si>
  <si>
    <t>3 Year Return6.77%</t>
  </si>
  <si>
    <t>5 Year Return12.23%</t>
  </si>
  <si>
    <t>Nav (On 12/31/2018)41.59</t>
  </si>
  <si>
    <t>Total Assets (M USD) (On 12/31/2018)20,844.650</t>
  </si>
  <si>
    <t>Inception Date05/22/2012</t>
  </si>
  <si>
    <t>Premium/Discount-0.06%</t>
  </si>
  <si>
    <t>Average 52-week Premium0.09%</t>
  </si>
  <si>
    <t>Last Dividend Reported0.214551</t>
  </si>
  <si>
    <t>Dividend Indicated Gross Yield1.81%</t>
  </si>
  <si>
    <t>IUSA</t>
  </si>
  <si>
    <t>IE0031442068</t>
  </si>
  <si>
    <t>iShares S&amp;P 500 UCITS ETF USD Dist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</si>
  <si>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</si>
  <si>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</si>
  <si>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</si>
  <si>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</si>
  <si>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</si>
  <si>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</si>
  <si>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</si>
  <si>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3 Month Return-12.39%</t>
  </si>
  <si>
    <t>YTD Return-1.21%</t>
  </si>
  <si>
    <t>1 Year Return-0.35%</t>
  </si>
  <si>
    <t>RETRAIT DAB 26052018 CONFLANS ST CB*9987</t>
  </si>
  <si>
    <t>3 Year Return6.67%</t>
  </si>
  <si>
    <t>5 Year Return12.01%</t>
  </si>
  <si>
    <t>Nav (On 12/31/2018)21.83</t>
  </si>
  <si>
    <t>Total Assets (M USD) (On 12/31/2018)7,670.735</t>
  </si>
  <si>
    <t>Inception Date07/02/2004</t>
  </si>
  <si>
    <t>CARTE 26052018 78 PATISSERI OSMO CB*9987</t>
  </si>
  <si>
    <t>Premium/Discount-0.08%</t>
  </si>
  <si>
    <t>Average 52-week Premium0.08%</t>
  </si>
  <si>
    <t>Last Dividend Reported0.1128</t>
  </si>
  <si>
    <t>Dividend Indicated Gross Yield1.72%</t>
  </si>
  <si>
    <t>LA POSTE L780150 78 A</t>
  </si>
  <si>
    <t>IEF</t>
  </si>
  <si>
    <t>LES P'TITS PAPIE</t>
  </si>
  <si>
    <t>PRLV SEPA EDF clients particuliers</t>
  </si>
  <si>
    <t>US4642874402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</si>
  <si>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</si>
  <si>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</si>
  <si>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</si>
  <si>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</si>
  <si>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</si>
  <si>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</si>
  <si>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</si>
  <si>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</si>
  <si>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</si>
  <si>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3 Month Return3.86%</t>
  </si>
  <si>
    <t>1 Year Return0.99%</t>
  </si>
  <si>
    <t>3 Year Return1.51%</t>
  </si>
  <si>
    <t>5 Year Return2.98%</t>
  </si>
  <si>
    <t>Nav (On 12/31/2018)104.02</t>
  </si>
  <si>
    <t>Total Assets (M USD) (On 12/31/2018)10,163.023</t>
  </si>
  <si>
    <t>Premium/Discount0.17%</t>
  </si>
  <si>
    <t>Last Dividend Reported0.212602</t>
  </si>
  <si>
    <t>Dividend Indicated Gross Yield2.45%</t>
  </si>
  <si>
    <t>VGIT</t>
  </si>
  <si>
    <t>CARTE 18022018 HP FRANCE SAS CB*9987</t>
  </si>
  <si>
    <t>US92206C7065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</si>
  <si>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</si>
  <si>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</si>
  <si>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</si>
  <si>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</si>
  <si>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</si>
  <si>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</si>
  <si>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</si>
  <si>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</si>
  <si>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</si>
  <si>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</si>
  <si>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3 Month Return3.02%</t>
  </si>
  <si>
    <t>Defrocourt Florian (Interne)</t>
  </si>
  <si>
    <t>3 Year Return1.30%</t>
  </si>
  <si>
    <t>5 Year Return2.01%</t>
  </si>
  <si>
    <t>Nav (On 12/31/2018)63.40</t>
  </si>
  <si>
    <t>Total Assets (M USD) (On 12/31/2018)3,471.657</t>
  </si>
  <si>
    <t>Inception Date11/23/2009</t>
  </si>
  <si>
    <t>Premium/Discount0.11%</t>
  </si>
  <si>
    <t>Last Dividend Reported0.1268</t>
  </si>
  <si>
    <t>PAYPAL *HUNGKAMKEUN</t>
  </si>
  <si>
    <t>Dividend Indicated Gross Yield2.40%</t>
  </si>
  <si>
    <t>PAYPAL *CHENGUOCAI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</si>
  <si>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</si>
  <si>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</si>
  <si>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</si>
  <si>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</si>
  <si>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</si>
  <si>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</si>
  <si>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</si>
  <si>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</si>
  <si>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</si>
  <si>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</si>
  <si>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3 Month Return4.74%</t>
  </si>
  <si>
    <t>YTD Return1.45%</t>
  </si>
  <si>
    <t>1 Year Return5.41%</t>
  </si>
  <si>
    <t>3 Year Return-0.40%</t>
  </si>
  <si>
    <t>5 Year Return6.61%</t>
  </si>
  <si>
    <t>VIR SEPA EUROP ASSISTANCE FRANCE</t>
  </si>
  <si>
    <t>Nav (On 12/31/2018)167.62</t>
  </si>
  <si>
    <t>Total Assets (M USD) (On 12/31/2018)3,686.639</t>
  </si>
  <si>
    <t>REM CHQ N. 0105343</t>
  </si>
  <si>
    <t>Inception Date11/21/2008</t>
  </si>
  <si>
    <t>Premium/Discount-0.55%</t>
  </si>
  <si>
    <t>Last Dividend Reported2.4458</t>
  </si>
  <si>
    <t>REDOUTE AUB VAD</t>
  </si>
  <si>
    <t>Dividend Indicated Gross Yield2.39%</t>
  </si>
  <si>
    <t>DBC</t>
  </si>
  <si>
    <t>SNCF OUIGO 92 PA</t>
  </si>
  <si>
    <t>US73935S1050</t>
  </si>
  <si>
    <t>REM CHQ N. 0097212</t>
  </si>
  <si>
    <t>REGUL PAI CARTE 15092017 CH Home Consult</t>
  </si>
  <si>
    <t>Invesco DB Commodity Index Tracking Fund</t>
  </si>
  <si>
    <t>LA POSTE 780150 78 A</t>
  </si>
  <si>
    <t>AVOIR 10112017 75 AMAZON PAYMENTS</t>
  </si>
  <si>
    <t>REM CHQ N. 0081583</t>
  </si>
  <si>
    <t>3 Month Return-18.31%</t>
  </si>
  <si>
    <t>1 Year Return-11.62%</t>
  </si>
  <si>
    <t>3 Year Return3.19%</t>
  </si>
  <si>
    <t>5 Year Return-10.56%</t>
  </si>
  <si>
    <t>Nav (On 12/31/2018)14.44</t>
  </si>
  <si>
    <t>Total Assets (M USD) (On 12/31/2018)1,932.539</t>
  </si>
  <si>
    <t>Inception Date02/03/2006</t>
  </si>
  <si>
    <t>Premium/Discount0.32%</t>
  </si>
  <si>
    <t>Average 52-week Premium-0.03%</t>
  </si>
  <si>
    <t>Last Dividend Reported0.18853</t>
  </si>
  <si>
    <t>Dividend Indicated Gross Yield1.30%</t>
  </si>
  <si>
    <t>Current Mgmt Fee0.85%</t>
  </si>
  <si>
    <t>Expense Ratio0.89%</t>
  </si>
  <si>
    <t>GSG</t>
  </si>
  <si>
    <t>US46428R1077</t>
  </si>
  <si>
    <t>iShares S&amp;P GSCI Commodity Indexed Trust</t>
  </si>
  <si>
    <t>Apercu de la marge disponible</t>
  </si>
  <si>
    <t>Valeur des titres</t>
  </si>
  <si>
    <t>3 Month Return-22.58%</t>
  </si>
  <si>
    <t>1 Year Return-13.88%</t>
  </si>
  <si>
    <t>3 Year Return-0.49%</t>
  </si>
  <si>
    <t>5 Year Return-15.31%</t>
  </si>
  <si>
    <t>Nav (On 12/31/2018)13.99</t>
  </si>
  <si>
    <t>Total Assets (M USD) (On 12/31/2018)1,209.875</t>
  </si>
  <si>
    <t>Inception Date07/21/2006</t>
  </si>
  <si>
    <t>Premium/Discount0.21%</t>
  </si>
  <si>
    <t>Last Dividend Reported--</t>
  </si>
  <si>
    <t>Dividend Indicated Gross Yield--</t>
  </si>
  <si>
    <t>Expense Ratio0.75%</t>
  </si>
  <si>
    <t>USCI</t>
  </si>
  <si>
    <t>US9117171069</t>
  </si>
  <si>
    <t>United States Commodity Index Fund</t>
  </si>
  <si>
    <t>Liquidités</t>
  </si>
  <si>
    <t>Valeur totale du portefeuille</t>
  </si>
  <si>
    <t>Risque du portefeuille</t>
  </si>
  <si>
    <t>Marge disponible (déficit/surplus)</t>
  </si>
  <si>
    <t>3 Month Return-11.63%</t>
  </si>
  <si>
    <t>1 Year Return-11.76%</t>
  </si>
  <si>
    <t>3 Year Return-2.48%</t>
  </si>
  <si>
    <t>5 Year Return-7.71%</t>
  </si>
  <si>
    <t>Nav (On 12/31/2018)37.49</t>
  </si>
  <si>
    <t>Facilité de crédit</t>
  </si>
  <si>
    <t>Total Assets (M USD) (On 12/31/2018)463.054</t>
  </si>
  <si>
    <t>Inception Date08/10/2010</t>
  </si>
  <si>
    <t>Current Mgmt Fee0.80%</t>
  </si>
  <si>
    <t>Expense Ratio1.11%</t>
  </si>
  <si>
    <t>DJP</t>
  </si>
  <si>
    <t>US06738C7781</t>
  </si>
  <si>
    <t>iPath Bloomberg Commodity Index Total Return ETN</t>
  </si>
  <si>
    <t>Valeur du gage</t>
  </si>
  <si>
    <t>Facilité de crédit (déficit/disponible)</t>
  </si>
  <si>
    <t>ESPACE LIBRE</t>
  </si>
  <si>
    <t>3 Month Return-10.69%</t>
  </si>
  <si>
    <t>1 Year Return-13.07%</t>
  </si>
  <si>
    <t>3 Year Return-0.39%</t>
  </si>
  <si>
    <t>5 Year Return-10.40%</t>
  </si>
  <si>
    <t>Nav (On 01/01/2019)21.13</t>
  </si>
  <si>
    <t>Total Assets (M USD) (On 01/01/2019)766.599</t>
  </si>
  <si>
    <t>Inception Date06/06/2006</t>
  </si>
  <si>
    <t>Premium/Discount0.42%</t>
  </si>
  <si>
    <t>Average 52-week Premium-0.01%</t>
  </si>
  <si>
    <t>Current Mgmt Fee0.70%</t>
  </si>
  <si>
    <t>Expense Ratio0.7%</t>
  </si>
  <si>
    <t>EPA</t>
  </si>
  <si>
    <t>CURRENT ALLOCATION</t>
  </si>
  <si>
    <t>AVAILABLE ALLOCATION</t>
  </si>
  <si>
    <t>REQUESTED ALLOCATION</t>
  </si>
  <si>
    <t>Perfect allocation</t>
  </si>
  <si>
    <t>3 Month Return-8.29%</t>
  </si>
  <si>
    <t>YTD Return-1.19%</t>
  </si>
  <si>
    <t>1 Year Return-7.25%</t>
  </si>
  <si>
    <t>3 Year Return-2.06%</t>
  </si>
  <si>
    <t>5 Year Return-6.24%</t>
  </si>
  <si>
    <t>Nav (On 12/31/2018)6.81</t>
  </si>
  <si>
    <t>Total Assets (M USD) (On 12/31/2018)210.714</t>
  </si>
  <si>
    <t>Inception Date02/28/2007</t>
  </si>
  <si>
    <t>Premium/Discount1.02%</t>
  </si>
  <si>
    <t>Current Mgmt Fee0.49%</t>
  </si>
  <si>
    <t>Expense Ratio0.49%</t>
  </si>
  <si>
    <t>Monthly portfolio average</t>
  </si>
  <si>
    <t>EXXY</t>
  </si>
  <si>
    <t>FRA</t>
  </si>
  <si>
    <t>DE000A0H0728</t>
  </si>
  <si>
    <t>Monthly evolution</t>
  </si>
  <si>
    <t>Difference monthly price</t>
  </si>
  <si>
    <t>3 Month Return-7.25%</t>
  </si>
  <si>
    <t>YTD Return-1.49%</t>
  </si>
  <si>
    <t>1 Year Return-6.61%</t>
  </si>
  <si>
    <t>3 Year Return-1.64%</t>
  </si>
  <si>
    <t>5 Year Return-6.21%</t>
  </si>
  <si>
    <t>Nav (On Invalid date)27.29</t>
  </si>
  <si>
    <t>Total Assets (M EUR) (On 12/27/2018)336.070</t>
  </si>
  <si>
    <t>Inception Date08/07/2007</t>
  </si>
  <si>
    <t>Premium/Discount--</t>
  </si>
  <si>
    <t>Average 52-week Premium--</t>
  </si>
  <si>
    <t>Last Dividend Reported0.000423</t>
  </si>
  <si>
    <t>Current Mgmt Fee--</t>
  </si>
  <si>
    <t>Expense Ratio0.46%</t>
  </si>
  <si>
    <t>OUNZ</t>
  </si>
  <si>
    <t>US9210781012</t>
  </si>
  <si>
    <t>VanEck Merk Gold Shares</t>
  </si>
  <si>
    <t>Portfolio</t>
  </si>
  <si>
    <t>Allocation</t>
  </si>
  <si>
    <t>Ratio</t>
  </si>
  <si>
    <t>Estimate</t>
  </si>
  <si>
    <t>Average</t>
  </si>
  <si>
    <t>3 Month Return7.47%</t>
  </si>
  <si>
    <t>1 Year Return-2.06%</t>
  </si>
  <si>
    <t>3 Year Return6.15%</t>
  </si>
  <si>
    <t>Nav (On 12/31/2018)12.58</t>
  </si>
  <si>
    <t>Total Assets (M USD) (On 12/31/2018)143.624</t>
  </si>
  <si>
    <t>Inception Date05/16/2014</t>
  </si>
  <si>
    <t>Premium/Discount0.03%</t>
  </si>
  <si>
    <t>Current Mgmt Fee0.40%</t>
  </si>
  <si>
    <t>Expense Ratio0.4%</t>
  </si>
  <si>
    <t>IAU</t>
  </si>
  <si>
    <t>US4642851053</t>
  </si>
  <si>
    <t>3 Month Return7.52%</t>
  </si>
  <si>
    <t>1 Year Return-1.76%</t>
  </si>
  <si>
    <t>3 Year Return6.30%</t>
  </si>
  <si>
    <t>5 Year Return1.02%</t>
  </si>
  <si>
    <t>Nav (On 12/31/2018)12.28</t>
  </si>
  <si>
    <t>Total Assets (M USD) (On 12/31/2018)11,544.738</t>
  </si>
  <si>
    <t>Inception Date01/28/2005</t>
  </si>
  <si>
    <t>Premium/Discount0.09%</t>
  </si>
  <si>
    <t>Current Mgmt Fee0.25%</t>
  </si>
  <si>
    <t>Expense Ratio0.25%</t>
  </si>
  <si>
    <t>SGOL</t>
  </si>
  <si>
    <t>US26922Y1055</t>
  </si>
  <si>
    <t>ETFS Physical Swiss Gold Shares</t>
  </si>
  <si>
    <t>3 Month Return7.49%</t>
  </si>
  <si>
    <t>1 Year Return-1.94%</t>
  </si>
  <si>
    <t>3 Year Return6.12%</t>
  </si>
  <si>
    <t>5 Year Return0.88%</t>
  </si>
  <si>
    <t>Nav (On 12/31/2018)123.61</t>
  </si>
  <si>
    <t>Total Assets (M USD) (On 12/31/2018)846.716</t>
  </si>
  <si>
    <t>Inception Date09/09/2009</t>
  </si>
  <si>
    <t>Current Mgmt Fee0.17%</t>
  </si>
  <si>
    <t>Expense Ratio0.17%</t>
  </si>
  <si>
    <t>GLD</t>
  </si>
  <si>
    <t>US78463V1070</t>
  </si>
  <si>
    <t>SPDR Gold Shares</t>
  </si>
  <si>
    <t>3 Month Return7.53%</t>
  </si>
  <si>
    <t>3 Year Return6.11%</t>
  </si>
  <si>
    <t>5 Year Return0.87%</t>
  </si>
  <si>
    <t>Nav (On 12/31/2018)121.16</t>
  </si>
  <si>
    <t>Total Assets (M USD) (On 12/31/2018)32,446.449</t>
  </si>
  <si>
    <t>Inception Date11/18/2004</t>
  </si>
  <si>
    <t>DGL</t>
  </si>
  <si>
    <t>US73936B6065</t>
  </si>
  <si>
    <t>Invesco DB Gold Fund</t>
  </si>
  <si>
    <t>3 Month Return7.24%</t>
  </si>
  <si>
    <t>1 Year Return-2.98%</t>
  </si>
  <si>
    <t>3 Year Return5.04%</t>
  </si>
  <si>
    <t>5 Year Return-0.09%</t>
  </si>
  <si>
    <t>Nav (On 12/31/2018)39.42</t>
  </si>
  <si>
    <t>Total Assets (M USD) (On 12/31/2018)94.612</t>
  </si>
  <si>
    <t>Inception Date01/05/2007</t>
  </si>
  <si>
    <t>Last Dividend Reported0.57908</t>
  </si>
  <si>
    <t>Dividend Indicated Gross Yield1.46%</t>
  </si>
  <si>
    <t>Expense Ratio0.78%</t>
  </si>
  <si>
    <t>3 Month Return9.10%</t>
  </si>
  <si>
    <t>YTD Return0.73%</t>
  </si>
  <si>
    <t>1 Year Return2.85%</t>
  </si>
  <si>
    <t>3 Year Return4.41%</t>
  </si>
  <si>
    <t>5 Year Return4.74%</t>
  </si>
  <si>
    <t>Nav (On 12/31/2018)107.11</t>
  </si>
  <si>
    <t>Total Assets (M USD) (On 12/31/2018)6,661.710</t>
  </si>
  <si>
    <t>Inception Date05/10/2007</t>
  </si>
  <si>
    <t>Premium/Discount-0.04%</t>
  </si>
  <si>
    <t>Current Mgmt Fee0.39%</t>
  </si>
  <si>
    <t>Expense Ratio0.39%</t>
  </si>
  <si>
    <t>GBS</t>
  </si>
  <si>
    <t>DE000A0LP781</t>
  </si>
  <si>
    <t>Gold Bullion Securities Ltd</t>
  </si>
  <si>
    <t>3 Month Return9.09%</t>
  </si>
  <si>
    <t>YTD Return0.71%</t>
  </si>
  <si>
    <t>1 Year Return2.82%</t>
  </si>
  <si>
    <t>3 Year Return4.62%</t>
  </si>
  <si>
    <t>5 Year Return4.71%</t>
  </si>
  <si>
    <t>Nav (On 12/31/2018)105.56</t>
  </si>
  <si>
    <t>Total Assets (M USD) (On 12/31/2018)3,304.495</t>
  </si>
  <si>
    <t>Inception Date11/07/2005</t>
  </si>
  <si>
    <t>Premium/Discount-0.05%</t>
  </si>
  <si>
    <t>Capital</t>
  </si>
  <si>
    <t>Boubou</t>
  </si>
  <si>
    <t>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</si>
</sst>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#,##0.00\ [$€-1]"/>
    <numFmt numFmtId="165" formatCode="dd/MM/yyyy"/>
    <numFmt numFmtId="166" formatCode="M/d/yyyy H:mm:ss"/>
    <numFmt numFmtId="167" formatCode="M/d/yyyy"/>
    <numFmt numFmtId="168" formatCode="#,##0.00##\ [$€-1]"/>
    <numFmt numFmtId="169" formatCode="#,##0.00 €"/>
    <numFmt numFmtId="170" formatCode="#,##0.000 €"/>
    <numFmt numFmtId="171" formatCode="dd&quot;/&quot;mm&quot;/&quot;yyyy"/>
    <numFmt numFmtId="172" formatCode="0.000"/>
    <numFmt numFmtId="173" formatCode="#,##0.00&quot;€&quot;"/>
    <numFmt numFmtId="174" formatCode="0.000%"/>
    <numFmt numFmtId="175" formatCode="0.0%"/>
    <numFmt numFmtId="176" formatCode="#,##0.00[$€]"/>
    <numFmt numFmtId="177" formatCode="[$$-1]#,##0.00##"/>
    <numFmt numFmtId="178" formatCode="#,##0.0000000\ [$€-1]"/>
    <numFmt numFmtId="179" formatCode="#,##0.####\ [$€-1]"/>
    <numFmt numFmtId="180" formatCode="dd&quot;/&quot;mm&quot;/&quot;yyyy&quot; &quot;h&quot;:&quot;mm&quot;:&quot;ss"/>
    <numFmt numFmtId="181" formatCode="mm&quot;/&quot;yyyy"/>
    <numFmt numFmtId="182" formatCode="#,##0.00&quot; €&quot;"/>
    <numFmt numFmtId="183" formatCode="#,##0.0&quot; €&quot;"/>
  </numFmts>
  <fonts count="33">
    <font>
      <sz val="10.0"/>
      <color rgb="FF000000"/>
      <name val="Arial"/>
    </font>
    <font/>
    <font>
      <b/>
      <i/>
    </font>
    <font>
      <name val="Arial"/>
    </font>
    <font>
      <b/>
      <i/>
      <name val="Arial"/>
    </font>
    <font>
      <i/>
      <sz val="11.0"/>
      <color rgb="FF000000"/>
    </font>
    <font>
      <sz val="11.0"/>
      <color rgb="FF000000"/>
    </font>
    <font>
      <b/>
      <i/>
      <sz val="11.0"/>
    </font>
    <font>
      <b/>
      <sz val="11.0"/>
    </font>
    <font>
      <i/>
      <sz val="11.0"/>
    </font>
    <font>
      <sz val="11.0"/>
    </font>
    <font>
      <b/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999999"/>
    </font>
    <font>
      <b/>
    </font>
    <font>
      <color rgb="FF999999"/>
    </font>
    <font>
      <sz val="10.0"/>
      <color rgb="FF999999"/>
    </font>
    <font>
      <b/>
      <name val="Arial"/>
    </font>
    <font>
      <sz val="10.0"/>
      <color rgb="FFFFFFFF"/>
      <name val="Inconsolata"/>
    </font>
    <font>
      <sz val="10.0"/>
      <color rgb="FFFFFFFF"/>
    </font>
    <font>
      <b/>
      <color rgb="FF000000"/>
    </font>
    <font>
      <color rgb="FFFFFFFF"/>
    </font>
    <font>
      <sz val="11.0"/>
      <color rgb="FF000000"/>
      <name val="Inconsolata"/>
    </font>
    <font>
      <b/>
      <sz val="11.0"/>
      <name val="Inconsolata"/>
    </font>
    <font>
      <sz val="11.0"/>
      <name val="Inconsolata"/>
    </font>
    <font>
      <sz val="10.0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2" fontId="2" numFmtId="164" xfId="0" applyAlignment="1" applyFill="1" applyFont="1" applyNumberFormat="1">
      <alignment horizontal="center" readingOrder="0" shrinkToFit="0" wrapText="1"/>
    </xf>
    <xf borderId="0" fillId="0" fontId="3" numFmtId="164" xfId="0" applyAlignment="1" applyFont="1" applyNumberFormat="1">
      <alignment horizontal="center"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3" xfId="0" applyAlignment="1" applyFont="1" applyNumberFormat="1">
      <alignment horizontal="right" readingOrder="0" shrinkToFit="0" vertical="bottom" wrapText="1"/>
    </xf>
    <xf borderId="0" fillId="0" fontId="3" numFmtId="165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 shrinkToFit="0" wrapText="0"/>
    </xf>
    <xf borderId="2" fillId="3" fontId="1" numFmtId="0" xfId="0" applyAlignment="1" applyBorder="1" applyFill="1" applyFont="1">
      <alignment shrinkToFit="0" wrapText="1"/>
    </xf>
    <xf borderId="0" fillId="3" fontId="1" numFmtId="49" xfId="0" applyAlignment="1" applyFont="1" applyNumberFormat="1">
      <alignment readingOrder="0" shrinkToFit="0" wrapText="1"/>
    </xf>
    <xf borderId="0" fillId="3" fontId="4" numFmtId="166" xfId="0" applyAlignment="1" applyFont="1" applyNumberFormat="1">
      <alignment horizontal="center" shrinkToFit="0" vertical="bottom" wrapText="1"/>
    </xf>
    <xf borderId="0" fillId="3" fontId="4" numFmtId="167" xfId="0" applyAlignment="1" applyFont="1" applyNumberFormat="1">
      <alignment horizontal="center" shrinkToFit="0" vertical="bottom" wrapText="1"/>
    </xf>
    <xf borderId="0" fillId="3" fontId="2" numFmtId="0" xfId="0" applyAlignment="1" applyFont="1">
      <alignment horizontal="center" readingOrder="0" shrinkToFit="0" wrapText="1"/>
    </xf>
    <xf borderId="0" fillId="3" fontId="4" numFmtId="49" xfId="0" applyAlignment="1" applyFont="1" applyNumberFormat="1">
      <alignment horizontal="center" readingOrder="0" shrinkToFit="0" vertical="bottom" wrapText="1"/>
    </xf>
    <xf borderId="0" fillId="3" fontId="2" numFmtId="167" xfId="0" applyAlignment="1" applyFont="1" applyNumberForma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0"/>
    </xf>
    <xf borderId="0" fillId="3" fontId="2" numFmtId="49" xfId="0" applyAlignment="1" applyFont="1" applyNumberFormat="1">
      <alignment horizontal="center" readingOrder="0" shrinkToFit="0" wrapText="1"/>
    </xf>
    <xf borderId="0" fillId="3" fontId="2" numFmtId="168" xfId="0" applyAlignment="1" applyFont="1" applyNumberFormat="1">
      <alignment horizontal="center" readingOrder="0" shrinkToFit="0" wrapText="1"/>
    </xf>
    <xf borderId="0" fillId="3" fontId="2" numFmtId="169" xfId="0" applyAlignment="1" applyFont="1" applyNumberFormat="1">
      <alignment horizontal="center" readingOrder="0" shrinkToFit="0" wrapText="1"/>
    </xf>
    <xf borderId="0" fillId="3" fontId="2" numFmtId="49" xfId="0" applyAlignment="1" applyFont="1" applyNumberFormat="1">
      <alignment horizontal="center" readingOrder="0" shrinkToFit="0" wrapText="0"/>
    </xf>
    <xf borderId="0" fillId="3" fontId="2" numFmtId="169" xfId="0" applyAlignment="1" applyFont="1" applyNumberFormat="1">
      <alignment horizontal="center" readingOrder="0" shrinkToFit="0" wrapText="0"/>
    </xf>
    <xf borderId="0" fillId="3" fontId="2" numFmtId="170" xfId="0" applyAlignment="1" applyFont="1" applyNumberFormat="1">
      <alignment horizontal="center" readingOrder="0" shrinkToFit="0" wrapText="1"/>
    </xf>
    <xf borderId="0" fillId="3" fontId="2" numFmtId="164" xfId="0" applyAlignment="1" applyFont="1" applyNumberFormat="1">
      <alignment horizontal="center" readingOrder="0" shrinkToFit="0" wrapText="1"/>
    </xf>
    <xf borderId="0" fillId="0" fontId="1" numFmtId="167" xfId="0" applyAlignment="1" applyFont="1" applyNumberFormat="1">
      <alignment readingOrder="0" shrinkToFit="0" wrapText="1"/>
    </xf>
    <xf borderId="0" fillId="0" fontId="1" numFmtId="171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0" xfId="0" applyAlignment="1" applyFont="1" applyNumberFormat="1">
      <alignment readingOrder="0" shrinkToFit="0" wrapText="1"/>
    </xf>
    <xf borderId="0" fillId="0" fontId="1" numFmtId="170" xfId="0" applyAlignment="1" applyFont="1" applyNumberFormat="1">
      <alignment readingOrder="0" shrinkToFit="0" wrapText="1"/>
    </xf>
    <xf borderId="0" fillId="0" fontId="1" numFmtId="16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3" fontId="4" numFmtId="49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3" fontId="4" numFmtId="172" xfId="0" applyAlignment="1" applyFont="1" applyNumberFormat="1">
      <alignment horizontal="center" shrinkToFit="0" vertical="bottom" wrapText="1"/>
    </xf>
    <xf borderId="0" fillId="3" fontId="4" numFmtId="164" xfId="0" applyAlignment="1" applyFont="1" applyNumberFormat="1">
      <alignment horizontal="center" shrinkToFit="0" vertical="bottom" wrapText="1"/>
    </xf>
    <xf borderId="0" fillId="3" fontId="3" numFmtId="169" xfId="0" applyAlignment="1" applyFont="1" applyNumberFormat="1">
      <alignment shrinkToFit="0" vertical="bottom" wrapText="0"/>
    </xf>
    <xf borderId="0" fillId="3" fontId="3" numFmtId="49" xfId="0" applyAlignment="1" applyFont="1" applyNumberFormat="1">
      <alignment shrinkToFit="0" vertical="bottom" wrapText="0"/>
    </xf>
    <xf borderId="0" fillId="3" fontId="1" numFmtId="49" xfId="0" applyAlignment="1" applyFont="1" applyNumberFormat="1">
      <alignment readingOrder="0" shrinkToFit="0" wrapText="0"/>
    </xf>
    <xf borderId="2" fillId="4" fontId="1" numFmtId="0" xfId="0" applyAlignment="1" applyBorder="1" applyFill="1" applyFont="1">
      <alignment shrinkToFit="0" wrapText="1"/>
    </xf>
    <xf borderId="0" fillId="4" fontId="1" numFmtId="4" xfId="0" applyAlignment="1" applyFont="1" applyNumberFormat="1">
      <alignment shrinkToFit="0" wrapText="1"/>
    </xf>
    <xf borderId="0" fillId="4" fontId="1" numFmtId="166" xfId="0" applyAlignment="1" applyFont="1" applyNumberFormat="1">
      <alignment readingOrder="0" shrinkToFit="0" wrapText="1"/>
    </xf>
    <xf borderId="0" fillId="4" fontId="1" numFmtId="167" xfId="0" applyAlignment="1" applyFont="1" applyNumberFormat="1">
      <alignment readingOrder="0" shrinkToFit="0" wrapText="1"/>
    </xf>
    <xf borderId="0" fillId="4" fontId="1" numFmtId="0" xfId="0" applyAlignment="1" applyFont="1">
      <alignment shrinkToFit="0" wrapText="1"/>
    </xf>
    <xf borderId="0" fillId="4" fontId="1" numFmtId="0" xfId="0" applyAlignment="1" applyFont="1">
      <alignment shrinkToFit="0" wrapText="0"/>
    </xf>
    <xf borderId="0" fillId="4" fontId="1" numFmtId="3" xfId="0" applyAlignment="1" applyFont="1" applyNumberFormat="1">
      <alignment shrinkToFit="0" wrapText="1"/>
    </xf>
    <xf borderId="0" fillId="4" fontId="1" numFmtId="172" xfId="0" applyAlignment="1" applyFont="1" applyNumberFormat="1">
      <alignment shrinkToFit="0" wrapText="1"/>
    </xf>
    <xf borderId="2" fillId="4" fontId="1" numFmtId="0" xfId="0" applyAlignment="1" applyBorder="1" applyFont="1">
      <alignment shrinkToFit="0" wrapText="0"/>
    </xf>
    <xf borderId="0" fillId="4" fontId="1" numFmtId="49" xfId="0" applyAlignment="1" applyFont="1" applyNumberFormat="1">
      <alignment shrinkToFit="0" wrapText="0"/>
    </xf>
    <xf borderId="0" fillId="4" fontId="1" numFmtId="0" xfId="0" applyAlignment="1" applyFont="1">
      <alignment shrinkToFit="0" wrapText="0"/>
    </xf>
    <xf borderId="0" fillId="4" fontId="1" numFmtId="49" xfId="0" applyAlignment="1" applyFont="1" applyNumberFormat="1">
      <alignment readingOrder="0" shrinkToFit="0" wrapText="0"/>
    </xf>
    <xf borderId="0" fillId="0" fontId="1" numFmtId="165" xfId="0" applyAlignment="1" applyFont="1" applyNumberFormat="1">
      <alignment shrinkToFit="0" wrapText="1"/>
    </xf>
    <xf borderId="0" fillId="0" fontId="1" numFmtId="173" xfId="0" applyAlignment="1" applyFont="1" applyNumberFormat="1">
      <alignment shrinkToFit="0" wrapText="1"/>
    </xf>
    <xf borderId="0" fillId="0" fontId="1" numFmtId="169" xfId="0" applyAlignment="1" applyFont="1" applyNumberFormat="1">
      <alignment shrinkToFit="0" wrapText="1"/>
    </xf>
    <xf borderId="0" fillId="5" fontId="5" numFmtId="0" xfId="0" applyAlignment="1" applyFill="1" applyFont="1">
      <alignment readingOrder="0" shrinkToFit="0" vertical="bottom" wrapText="0"/>
    </xf>
    <xf borderId="0" fillId="5" fontId="6" numFmtId="10" xfId="0" applyAlignment="1" applyFont="1" applyNumberFormat="1">
      <alignment readingOrder="0" shrinkToFit="0" vertical="bottom" wrapText="0"/>
    </xf>
    <xf borderId="0" fillId="5" fontId="6" numFmtId="169" xfId="0" applyAlignment="1" applyFont="1" applyNumberFormat="1">
      <alignment readingOrder="0" shrinkToFit="0" vertical="bottom" wrapText="0"/>
    </xf>
    <xf borderId="0" fillId="5" fontId="6" numFmtId="3" xfId="0" applyAlignment="1" applyFont="1" applyNumberFormat="1">
      <alignment readingOrder="0" shrinkToFit="0" vertical="bottom" wrapText="0"/>
    </xf>
    <xf borderId="1" fillId="3" fontId="7" numFmtId="0" xfId="0" applyAlignment="1" applyBorder="1" applyFont="1">
      <alignment readingOrder="0" shrinkToFit="0" wrapText="1"/>
    </xf>
    <xf borderId="1" fillId="3" fontId="8" numFmtId="169" xfId="0" applyAlignment="1" applyBorder="1" applyFont="1" applyNumberFormat="1">
      <alignment shrinkToFit="0" wrapText="1"/>
    </xf>
    <xf borderId="0" fillId="3" fontId="9" numFmtId="0" xfId="0" applyAlignment="1" applyFont="1">
      <alignment readingOrder="0" shrinkToFit="0" wrapText="1"/>
    </xf>
    <xf borderId="0" fillId="3" fontId="10" numFmtId="169" xfId="0" applyAlignment="1" applyFont="1" applyNumberFormat="1">
      <alignment shrinkToFit="0" wrapText="1"/>
    </xf>
    <xf borderId="0" fillId="3" fontId="10" numFmtId="10" xfId="0" applyAlignment="1" applyFont="1" applyNumberFormat="1">
      <alignment shrinkToFit="0" wrapText="1"/>
    </xf>
    <xf borderId="0" fillId="3" fontId="10" numFmtId="0" xfId="0" applyAlignment="1" applyFont="1">
      <alignment horizontal="right" shrinkToFit="0" vertical="bottom" wrapText="1"/>
    </xf>
    <xf borderId="0" fillId="3" fontId="10" numFmtId="169" xfId="0" applyAlignment="1" applyFont="1" applyNumberFormat="1">
      <alignment readingOrder="0" shrinkToFit="0" wrapText="1"/>
    </xf>
    <xf borderId="0" fillId="3" fontId="10" numFmtId="0" xfId="0" applyAlignment="1" applyFont="1">
      <alignment horizontal="right" shrinkToFit="0" wrapText="1"/>
    </xf>
    <xf borderId="0" fillId="3" fontId="10" numFmtId="3" xfId="0" applyAlignment="1" applyFont="1" applyNumberFormat="1">
      <alignment horizontal="right" shrinkToFit="0" vertical="bottom" wrapText="1"/>
    </xf>
    <xf borderId="1" fillId="6" fontId="9" numFmtId="0" xfId="0" applyAlignment="1" applyBorder="1" applyFill="1" applyFont="1">
      <alignment readingOrder="0" shrinkToFit="0" wrapText="1"/>
    </xf>
    <xf borderId="1" fillId="6" fontId="10" numFmtId="10" xfId="0" applyAlignment="1" applyBorder="1" applyFont="1" applyNumberFormat="1">
      <alignment shrinkToFit="0" wrapText="1"/>
    </xf>
    <xf borderId="0" fillId="6" fontId="9" numFmtId="0" xfId="0" applyAlignment="1" applyFont="1">
      <alignment readingOrder="0" shrinkToFit="0" wrapText="1"/>
    </xf>
    <xf borderId="0" fillId="6" fontId="10" numFmtId="169" xfId="0" applyAlignment="1" applyFont="1" applyNumberFormat="1">
      <alignment shrinkToFit="0" wrapText="1"/>
    </xf>
    <xf borderId="0" fillId="6" fontId="7" numFmtId="0" xfId="0" applyAlignment="1" applyFont="1">
      <alignment readingOrder="0" shrinkToFit="0" wrapText="1"/>
    </xf>
    <xf borderId="0" fillId="6" fontId="8" numFmtId="169" xfId="0" applyAlignment="1" applyFont="1" applyNumberFormat="1">
      <alignment readingOrder="0" shrinkToFit="0" wrapText="1"/>
    </xf>
    <xf borderId="0" fillId="6" fontId="10" numFmtId="169" xfId="0" applyAlignment="1" applyFont="1" applyNumberFormat="1">
      <alignment readingOrder="0" shrinkToFit="0" wrapText="1"/>
    </xf>
    <xf borderId="0" fillId="6" fontId="8" numFmtId="164" xfId="0" applyAlignment="1" applyFont="1" applyNumberFormat="1">
      <alignment shrinkToFit="0" wrapText="1"/>
    </xf>
    <xf borderId="3" fillId="6" fontId="7" numFmtId="0" xfId="0" applyAlignment="1" applyBorder="1" applyFont="1">
      <alignment readingOrder="0" shrinkToFit="0" wrapText="1"/>
    </xf>
    <xf borderId="3" fillId="6" fontId="8" numFmtId="164" xfId="0" applyAlignment="1" applyBorder="1" applyFont="1" applyNumberFormat="1">
      <alignment shrinkToFit="0" wrapText="1"/>
    </xf>
    <xf borderId="0" fillId="7" fontId="9" numFmtId="0" xfId="0" applyAlignment="1" applyFill="1" applyFont="1">
      <alignment readingOrder="0" shrinkToFit="0" wrapText="1"/>
    </xf>
    <xf borderId="0" fillId="7" fontId="10" numFmtId="0" xfId="0" applyAlignment="1" applyFont="1">
      <alignment horizontal="right" shrinkToFit="0" vertical="bottom" wrapText="1"/>
    </xf>
    <xf borderId="0" fillId="8" fontId="11" numFmtId="0" xfId="0" applyAlignment="1" applyFill="1" applyFont="1">
      <alignment shrinkToFit="0" vertical="bottom" wrapText="1"/>
    </xf>
    <xf borderId="0" fillId="8" fontId="8" numFmtId="0" xfId="0" applyAlignment="1" applyFont="1">
      <alignment horizontal="right" shrinkToFit="0" wrapText="1"/>
    </xf>
    <xf borderId="0" fillId="8" fontId="7" numFmtId="0" xfId="0" applyAlignment="1" applyFont="1">
      <alignment readingOrder="0" shrinkToFit="0" wrapText="1"/>
    </xf>
    <xf borderId="0" fillId="8" fontId="8" numFmtId="169" xfId="0" applyAlignment="1" applyFont="1" applyNumberFormat="1">
      <alignment shrinkToFit="0" wrapText="1"/>
    </xf>
    <xf borderId="0" fillId="8" fontId="8" numFmtId="10" xfId="0" applyAlignment="1" applyFont="1" applyNumberFormat="1">
      <alignment horizontal="right" shrinkToFit="0" wrapText="1"/>
    </xf>
    <xf borderId="0" fillId="8" fontId="9" numFmtId="0" xfId="0" applyAlignment="1" applyFont="1">
      <alignment readingOrder="0" shrinkToFit="0" wrapText="1"/>
    </xf>
    <xf borderId="0" fillId="8" fontId="10" numFmtId="169" xfId="0" applyAlignment="1" applyFont="1" applyNumberFormat="1">
      <alignment shrinkToFit="0" wrapText="1"/>
    </xf>
    <xf borderId="0" fillId="8" fontId="10" numFmtId="10" xfId="0" applyAlignment="1" applyFont="1" applyNumberFormat="1">
      <alignment horizontal="right" shrinkToFit="0" wrapText="1"/>
    </xf>
    <xf borderId="0" fillId="8" fontId="12" numFmtId="0" xfId="0" applyAlignment="1" applyFont="1">
      <alignment horizontal="left" readingOrder="0" shrinkToFit="0" wrapText="1"/>
    </xf>
    <xf borderId="1" fillId="9" fontId="9" numFmtId="0" xfId="0" applyAlignment="1" applyBorder="1" applyFill="1" applyFont="1">
      <alignment readingOrder="0" shrinkToFit="0" wrapText="1"/>
    </xf>
    <xf borderId="1" fillId="9" fontId="8" numFmtId="169" xfId="0" applyAlignment="1" applyBorder="1" applyFont="1" applyNumberFormat="1">
      <alignment readingOrder="0" shrinkToFit="0" wrapText="1"/>
    </xf>
    <xf borderId="0" fillId="9" fontId="9" numFmtId="0" xfId="0" applyAlignment="1" applyFont="1">
      <alignment readingOrder="0" shrinkToFit="0" wrapText="1"/>
    </xf>
    <xf borderId="0" fillId="9" fontId="8" numFmtId="169" xfId="0" applyAlignment="1" applyFont="1" applyNumberFormat="1">
      <alignment readingOrder="0" shrinkToFit="0" wrapText="1"/>
    </xf>
    <xf borderId="0" fillId="9" fontId="10" numFmtId="169" xfId="0" applyAlignment="1" applyFont="1" applyNumberFormat="1">
      <alignment readingOrder="0" shrinkToFit="0" wrapText="1"/>
    </xf>
    <xf borderId="0" fillId="9" fontId="10" numFmtId="9" xfId="0" applyAlignment="1" applyFont="1" applyNumberFormat="1">
      <alignment readingOrder="0" shrinkToFit="0" wrapText="1"/>
    </xf>
    <xf borderId="0" fillId="9" fontId="10" numFmtId="174" xfId="0" applyAlignment="1" applyFont="1" applyNumberFormat="1">
      <alignment readingOrder="0" shrinkToFit="0" wrapText="1"/>
    </xf>
    <xf borderId="0" fillId="9" fontId="8" numFmtId="164" xfId="0" applyAlignment="1" applyFont="1" applyNumberFormat="1">
      <alignment horizontal="right" readingOrder="0" shrinkToFit="0" wrapText="1"/>
    </xf>
    <xf borderId="0" fillId="9" fontId="8" numFmtId="0" xfId="0" applyAlignment="1" applyFont="1">
      <alignment horizontal="right" readingOrder="0" shrinkToFit="0" wrapText="1"/>
    </xf>
    <xf borderId="1" fillId="8" fontId="9" numFmtId="0" xfId="0" applyAlignment="1" applyBorder="1" applyFont="1">
      <alignment readingOrder="0" shrinkToFit="0" wrapText="1"/>
    </xf>
    <xf borderId="1" fillId="8" fontId="13" numFmtId="3" xfId="0" applyAlignment="1" applyBorder="1" applyFont="1" applyNumberFormat="1">
      <alignment horizontal="right" readingOrder="0" shrinkToFit="0" wrapText="1"/>
    </xf>
    <xf borderId="0" fillId="10" fontId="2" numFmtId="0" xfId="0" applyAlignment="1" applyFill="1" applyFont="1">
      <alignment horizontal="center" readingOrder="0" shrinkToFit="0" wrapText="1"/>
    </xf>
    <xf borderId="0" fillId="10" fontId="2" numFmtId="0" xfId="0" applyAlignment="1" applyFont="1">
      <alignment horizontal="center" readingOrder="0" shrinkToFit="0" wrapText="0"/>
    </xf>
    <xf borderId="0" fillId="10" fontId="2" numFmtId="10" xfId="0" applyAlignment="1" applyFont="1" applyNumberFormat="1">
      <alignment horizontal="center" readingOrder="0" shrinkToFit="0" wrapText="1"/>
    </xf>
    <xf borderId="2" fillId="11" fontId="14" numFmtId="3" xfId="0" applyAlignment="1" applyBorder="1" applyFill="1" applyFont="1" applyNumberFormat="1">
      <alignment horizontal="center" readingOrder="0" shrinkToFit="0" wrapText="1"/>
    </xf>
    <xf borderId="0" fillId="11" fontId="14" numFmtId="168" xfId="0" applyAlignment="1" applyFont="1" applyNumberFormat="1">
      <alignment horizontal="center" readingOrder="0" shrinkToFit="0" wrapText="1"/>
    </xf>
    <xf borderId="0" fillId="11" fontId="14" numFmtId="164" xfId="0" applyAlignment="1" applyFont="1" applyNumberFormat="1">
      <alignment horizontal="center" readingOrder="0" shrinkToFit="0" wrapText="1"/>
    </xf>
    <xf borderId="2" fillId="2" fontId="2" numFmtId="164" xfId="0" applyAlignment="1" applyBorder="1" applyFont="1" applyNumberForma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2" numFmtId="10" xfId="0" applyAlignment="1" applyFont="1" applyNumberFormat="1">
      <alignment horizontal="center" readingOrder="0" shrinkToFit="0" wrapText="1"/>
    </xf>
    <xf borderId="2" fillId="12" fontId="2" numFmtId="164" xfId="0" applyAlignment="1" applyBorder="1" applyFill="1" applyFont="1" applyNumberFormat="1">
      <alignment horizontal="center" readingOrder="0" shrinkToFit="0" wrapText="1"/>
    </xf>
    <xf borderId="0" fillId="12" fontId="2" numFmtId="164" xfId="0" applyAlignment="1" applyFont="1" applyNumberFormat="1">
      <alignment horizontal="center" readingOrder="0" shrinkToFit="0" wrapText="1"/>
    </xf>
    <xf borderId="0" fillId="12" fontId="4" numFmtId="164" xfId="0" applyAlignment="1" applyFont="1" applyNumberFormat="1">
      <alignment horizontal="center" readingOrder="0" shrinkToFit="0" vertical="bottom" wrapText="1"/>
    </xf>
    <xf borderId="4" fillId="12" fontId="2" numFmtId="164" xfId="0" applyAlignment="1" applyBorder="1" applyFont="1" applyNumberFormat="1">
      <alignment horizontal="center" readingOrder="0" shrinkToFit="0" wrapText="1"/>
    </xf>
    <xf borderId="0" fillId="11" fontId="2" numFmtId="0" xfId="0" applyAlignment="1" applyFont="1">
      <alignment horizontal="center" readingOrder="0" shrinkToFit="0" wrapText="1"/>
    </xf>
    <xf borderId="0" fillId="11" fontId="2" numFmtId="168" xfId="0" applyAlignment="1" applyFont="1" applyNumberFormat="1">
      <alignment horizontal="center" readingOrder="0" shrinkToFit="0" wrapText="1"/>
    </xf>
    <xf borderId="0" fillId="11" fontId="2" numFmtId="175" xfId="0" applyAlignment="1" applyFont="1" applyNumberFormat="1">
      <alignment horizontal="center" readingOrder="0" shrinkToFit="0" wrapText="1"/>
    </xf>
    <xf borderId="0" fillId="11" fontId="2" numFmtId="49" xfId="0" applyAlignment="1" applyFont="1" applyNumberFormat="1">
      <alignment horizontal="center" readingOrder="0" shrinkToFit="0" wrapText="1"/>
    </xf>
    <xf borderId="0" fillId="11" fontId="2" numFmtId="176" xfId="0" applyAlignment="1" applyFont="1" applyNumberFormat="1">
      <alignment horizontal="center" readingOrder="0" shrinkToFit="0" wrapText="1"/>
    </xf>
    <xf borderId="0" fillId="11" fontId="2" numFmtId="164" xfId="0" applyAlignment="1" applyFont="1" applyNumberFormat="1">
      <alignment horizontal="center" readingOrder="0" shrinkToFit="0" wrapText="1"/>
    </xf>
    <xf borderId="0" fillId="13" fontId="2" numFmtId="164" xfId="0" applyAlignment="1" applyFill="1" applyFont="1" applyNumberForma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5" numFmtId="175" xfId="0" applyAlignment="1" applyFont="1" applyNumberFormat="1">
      <alignment readingOrder="0" shrinkToFit="0" wrapText="1"/>
    </xf>
    <xf borderId="0" fillId="0" fontId="1" numFmtId="10" xfId="0" applyAlignment="1" applyFont="1" applyNumberFormat="1">
      <alignment horizontal="right" readingOrder="0" shrinkToFit="0" wrapText="1"/>
    </xf>
    <xf borderId="2" fillId="0" fontId="16" numFmtId="3" xfId="0" applyAlignment="1" applyBorder="1" applyFont="1" applyNumberFormat="1">
      <alignment readingOrder="0" shrinkToFit="0" wrapText="1"/>
    </xf>
    <xf borderId="0" fillId="14" fontId="17" numFmtId="177" xfId="0" applyAlignment="1" applyFill="1" applyFont="1" applyNumberFormat="1">
      <alignment shrinkToFit="0" wrapText="1"/>
    </xf>
    <xf borderId="0" fillId="14" fontId="17" numFmtId="168" xfId="0" applyAlignment="1" applyFont="1" applyNumberFormat="1">
      <alignment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16" numFmtId="164" xfId="0" applyAlignment="1" applyFont="1" applyNumberFormat="1">
      <alignment shrinkToFit="0" wrapText="1"/>
    </xf>
    <xf borderId="2" fillId="0" fontId="1" numFmtId="164" xfId="0" applyAlignment="1" applyBorder="1" applyFont="1" applyNumberFormat="1">
      <alignment shrinkToFit="0" wrapText="1"/>
    </xf>
    <xf borderId="0" fillId="0" fontId="1" numFmtId="1" xfId="0" applyAlignment="1" applyFont="1" applyNumberFormat="1">
      <alignment shrinkToFit="0" wrapText="0"/>
    </xf>
    <xf borderId="0" fillId="0" fontId="1" numFmtId="0" xfId="0" applyAlignment="1" applyFont="1">
      <alignment shrinkToFit="0" wrapText="1"/>
    </xf>
    <xf borderId="0" fillId="0" fontId="3" numFmtId="164" xfId="0" applyAlignment="1" applyFont="1" applyNumberFormat="1">
      <alignment horizontal="right" shrinkToFit="0" vertical="bottom" wrapText="1"/>
    </xf>
    <xf borderId="0" fillId="0" fontId="3" numFmtId="164" xfId="0" applyAlignment="1" applyFont="1" applyNumberFormat="1">
      <alignment horizontal="right" shrinkToFit="0" vertical="bottom" wrapText="1"/>
    </xf>
    <xf borderId="0" fillId="0" fontId="18" numFmtId="164" xfId="0" applyAlignment="1" applyFont="1" applyNumberFormat="1">
      <alignment horizontal="right" shrinkToFit="0" vertical="bottom" wrapText="1"/>
    </xf>
    <xf borderId="4" fillId="0" fontId="15" numFmtId="10" xfId="0" applyAlignment="1" applyBorder="1" applyFont="1" applyNumberForma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3" numFmtId="0" xfId="0" applyAlignment="1" applyFont="1">
      <alignment horizontal="right" shrinkToFit="0" vertical="bottom" wrapText="1"/>
    </xf>
    <xf borderId="0" fillId="0" fontId="1" numFmtId="168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175" xfId="0" applyAlignment="1" applyFont="1" applyNumberFormat="1">
      <alignment shrinkToFit="0" wrapText="1"/>
    </xf>
    <xf borderId="0" fillId="0" fontId="3" numFmtId="49" xfId="0" applyAlignment="1" applyFont="1" applyNumberFormat="1">
      <alignment horizontal="right" readingOrder="0" shrinkToFit="0" vertical="bottom" wrapText="1"/>
    </xf>
    <xf borderId="0" fillId="0" fontId="1" numFmtId="176" xfId="0" applyAlignment="1" applyFont="1" applyNumberFormat="1">
      <alignment shrinkToFit="0" wrapText="1"/>
    </xf>
    <xf borderId="0" fillId="13" fontId="15" numFmtId="164" xfId="0" applyAlignment="1" applyFont="1" applyNumberFormat="1">
      <alignment shrinkToFit="0" wrapText="1"/>
    </xf>
    <xf borderId="0" fillId="13" fontId="15" numFmtId="164" xfId="0" applyAlignment="1" applyFont="1" applyNumberFormat="1">
      <alignment horizontal="center" readingOrder="0" shrinkToFit="0" wrapText="1"/>
    </xf>
    <xf borderId="0" fillId="13" fontId="1" numFmtId="164" xfId="0" applyAlignment="1" applyFont="1" applyNumberFormat="1">
      <alignment shrinkToFit="0" wrapText="1"/>
    </xf>
    <xf borderId="0" fillId="0" fontId="18" numFmtId="164" xfId="0" applyAlignment="1" applyFont="1" applyNumberFormat="1">
      <alignment horizontal="right" shrinkToFit="0" vertical="bottom" wrapText="1"/>
    </xf>
    <xf borderId="0" fillId="0" fontId="16" numFmtId="164" xfId="0" applyAlignment="1" applyFont="1" applyNumberFormat="1">
      <alignment readingOrder="0" shrinkToFit="0" wrapText="1"/>
    </xf>
    <xf borderId="2" fillId="0" fontId="1" numFmtId="164" xfId="0" applyAlignment="1" applyBorder="1" applyFont="1" applyNumberFormat="1">
      <alignment shrinkToFit="0" wrapText="1"/>
    </xf>
    <xf borderId="3" fillId="0" fontId="1" numFmtId="164" xfId="0" applyAlignment="1" applyBorder="1" applyFont="1" applyNumberFormat="1">
      <alignment readingOrder="0" shrinkToFit="0" wrapText="1"/>
    </xf>
    <xf borderId="3" fillId="13" fontId="15" numFmtId="164" xfId="0" applyAlignment="1" applyBorder="1" applyFont="1" applyNumberFormat="1">
      <alignment horizontal="center" readingOrder="0" shrinkToFit="0" wrapText="1"/>
    </xf>
    <xf borderId="3" fillId="13" fontId="1" numFmtId="164" xfId="0" applyAlignment="1" applyBorder="1" applyFont="1" applyNumberFormat="1">
      <alignment shrinkToFit="0" wrapText="1"/>
    </xf>
    <xf borderId="0" fillId="0" fontId="19" numFmtId="0" xfId="0" applyAlignment="1" applyFont="1">
      <alignment readingOrder="0" shrinkToFit="0" wrapText="1"/>
    </xf>
    <xf borderId="1" fillId="0" fontId="20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shrinkToFit="0" wrapText="0"/>
    </xf>
    <xf borderId="1" fillId="0" fontId="21" numFmtId="10" xfId="0" applyAlignment="1" applyBorder="1" applyFont="1" applyNumberFormat="1">
      <alignment shrinkToFit="0" wrapText="1"/>
    </xf>
    <xf borderId="1" fillId="0" fontId="15" numFmtId="10" xfId="0" applyAlignment="1" applyBorder="1" applyFont="1" applyNumberFormat="1">
      <alignment shrinkToFit="0" wrapText="1"/>
    </xf>
    <xf borderId="1" fillId="0" fontId="15" numFmtId="0" xfId="0" applyAlignment="1" applyBorder="1" applyFont="1">
      <alignment readingOrder="0" shrinkToFit="0" wrapText="1"/>
    </xf>
    <xf borderId="1" fillId="14" fontId="17" numFmtId="178" xfId="0" applyAlignment="1" applyBorder="1" applyFont="1" applyNumberFormat="1">
      <alignment shrinkToFit="0" wrapText="1"/>
    </xf>
    <xf borderId="1" fillId="14" fontId="17" numFmtId="168" xfId="0" applyAlignment="1" applyBorder="1" applyFont="1" applyNumberFormat="1">
      <alignment readingOrder="0" shrinkToFit="0" wrapText="1"/>
    </xf>
    <xf borderId="1" fillId="14" fontId="17" numFmtId="168" xfId="0" applyAlignment="1" applyBorder="1" applyFont="1" applyNumberFormat="1">
      <alignment readingOrder="0" shrinkToFit="0" wrapText="0"/>
    </xf>
    <xf borderId="1" fillId="0" fontId="15" numFmtId="164" xfId="0" applyAlignment="1" applyBorder="1" applyFont="1" applyNumberFormat="1">
      <alignment shrinkToFit="0" wrapText="1"/>
    </xf>
    <xf borderId="1" fillId="0" fontId="21" numFmtId="164" xfId="0" applyAlignment="1" applyBorder="1" applyFont="1" applyNumberFormat="1">
      <alignment shrinkToFit="0" wrapText="1"/>
    </xf>
    <xf borderId="5" fillId="0" fontId="15" numFmtId="164" xfId="0" applyAlignment="1" applyBorder="1" applyFont="1" applyNumberFormat="1">
      <alignment shrinkToFit="0" wrapText="1"/>
    </xf>
    <xf borderId="1" fillId="0" fontId="1" numFmtId="164" xfId="0" applyAlignment="1" applyBorder="1" applyFont="1" applyNumberFormat="1">
      <alignment shrinkToFit="0" wrapText="1"/>
    </xf>
    <xf borderId="1" fillId="0" fontId="18" numFmtId="164" xfId="0" applyAlignment="1" applyBorder="1" applyFont="1" applyNumberFormat="1">
      <alignment horizontal="right"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0" fontId="21" numFmtId="168" xfId="0" applyAlignment="1" applyBorder="1" applyFont="1" applyNumberFormat="1">
      <alignment shrinkToFit="0" wrapText="1"/>
    </xf>
    <xf borderId="1" fillId="0" fontId="15" numFmtId="175" xfId="0" applyAlignment="1" applyBorder="1" applyFont="1" applyNumberFormat="1">
      <alignment readingOrder="0" shrinkToFit="0" wrapText="1"/>
    </xf>
    <xf borderId="1" fillId="0" fontId="18" numFmtId="164" xfId="0" applyAlignment="1" applyBorder="1" applyFont="1" applyNumberFormat="1">
      <alignment horizontal="right" shrinkToFit="0" vertical="bottom" wrapText="1"/>
    </xf>
    <xf borderId="1" fillId="0" fontId="21" numFmtId="171" xfId="0" applyAlignment="1" applyBorder="1" applyFont="1" applyNumberFormat="1">
      <alignment shrinkToFit="0" wrapText="1"/>
    </xf>
    <xf borderId="1" fillId="0" fontId="21" numFmtId="49" xfId="0" applyAlignment="1" applyBorder="1" applyFont="1" applyNumberFormat="1">
      <alignment shrinkToFit="0" wrapText="1"/>
    </xf>
    <xf borderId="1" fillId="0" fontId="21" numFmtId="176" xfId="0" applyAlignment="1" applyBorder="1" applyFont="1" applyNumberFormat="1">
      <alignment shrinkToFit="0" wrapText="1"/>
    </xf>
    <xf borderId="1" fillId="0" fontId="15" numFmtId="168" xfId="0" applyAlignment="1" applyBorder="1" applyFont="1" applyNumberFormat="1">
      <alignment shrinkToFit="0" wrapText="1"/>
    </xf>
    <xf borderId="1" fillId="0" fontId="21" numFmtId="174" xfId="0" applyAlignment="1" applyBorder="1" applyFont="1" applyNumberFormat="1">
      <alignment shrinkToFit="0" wrapText="1"/>
    </xf>
    <xf borderId="1" fillId="13" fontId="1" numFmtId="164" xfId="0" applyAlignment="1" applyBorder="1" applyFont="1" applyNumberFormat="1">
      <alignment shrinkToFit="0" wrapText="1"/>
    </xf>
    <xf borderId="2" fillId="0" fontId="22" numFmtId="169" xfId="0" applyAlignment="1" applyBorder="1" applyFont="1" applyNumberFormat="1">
      <alignment readingOrder="0" shrinkToFit="0" wrapText="0"/>
    </xf>
    <xf borderId="0" fillId="0" fontId="22" numFmtId="0" xfId="0" applyAlignment="1" applyFont="1">
      <alignment readingOrder="0" shrinkToFit="0" wrapText="1"/>
    </xf>
    <xf borderId="0" fillId="14" fontId="23" numFmtId="0" xfId="0" applyAlignment="1" applyFont="1">
      <alignment shrinkToFit="0" wrapText="1"/>
    </xf>
    <xf borderId="6" fillId="0" fontId="24" numFmtId="168" xfId="0" applyAlignment="1" applyBorder="1" applyFont="1" applyNumberFormat="1">
      <alignment horizontal="right" shrinkToFit="0" wrapText="1"/>
    </xf>
    <xf borderId="0" fillId="0" fontId="1" numFmtId="169" xfId="0" applyAlignment="1" applyFont="1" applyNumberFormat="1">
      <alignment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25" numFmtId="0" xfId="0" applyAlignment="1" applyFont="1">
      <alignment shrinkToFit="0" wrapText="1"/>
    </xf>
    <xf borderId="0" fillId="0" fontId="1" numFmtId="168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169" xfId="0" applyAlignment="1" applyFont="1" applyNumberFormat="1">
      <alignment shrinkToFit="0" vertical="bottom" wrapText="0"/>
    </xf>
    <xf borderId="4" fillId="0" fontId="3" numFmtId="0" xfId="0" applyAlignment="1" applyBorder="1" applyFont="1">
      <alignment shrinkToFit="0" vertical="bottom" wrapText="1"/>
    </xf>
    <xf borderId="4" fillId="0" fontId="3" numFmtId="168" xfId="0" applyAlignment="1" applyBorder="1" applyFont="1" applyNumberFormat="1">
      <alignment shrinkToFit="0" vertical="bottom" wrapText="1"/>
    </xf>
    <xf borderId="0" fillId="0" fontId="3" numFmtId="169" xfId="0" applyAlignment="1" applyFont="1" applyNumberForma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3" xfId="0" applyAlignment="1" applyFont="1" applyNumberFormat="1">
      <alignment readingOrder="0" shrinkToFit="0" vertical="bottom" wrapText="1"/>
    </xf>
    <xf borderId="0" fillId="0" fontId="3" numFmtId="169" xfId="0" applyAlignment="1" applyFont="1" applyNumberFormat="1">
      <alignment horizontal="right" readingOrder="0" shrinkToFit="0" vertical="bottom" wrapText="1"/>
    </xf>
    <xf borderId="0" fillId="13" fontId="3" numFmtId="0" xfId="0" applyAlignment="1" applyFont="1">
      <alignment readingOrder="0" shrinkToFit="0" vertical="bottom" wrapText="1"/>
    </xf>
    <xf borderId="0" fillId="13" fontId="3" numFmtId="0" xfId="0" applyAlignment="1" applyFont="1">
      <alignment readingOrder="0" shrinkToFit="0" vertical="bottom" wrapText="0"/>
    </xf>
    <xf borderId="0" fillId="13" fontId="3" numFmtId="3" xfId="0" applyAlignment="1" applyFont="1" applyNumberFormat="1">
      <alignment readingOrder="0" shrinkToFit="0" vertical="bottom" wrapText="1"/>
    </xf>
    <xf borderId="0" fillId="13" fontId="3" numFmtId="3" xfId="0" applyAlignment="1" applyFont="1" applyNumberFormat="1">
      <alignment shrinkToFit="0" vertical="bottom" wrapText="1"/>
    </xf>
    <xf borderId="0" fillId="13" fontId="1" numFmtId="168" xfId="0" applyAlignment="1" applyFont="1" applyNumberFormat="1">
      <alignment shrinkToFit="0" wrapText="1"/>
    </xf>
    <xf borderId="0" fillId="13" fontId="3" numFmtId="169" xfId="0" applyAlignment="1" applyFont="1" applyNumberFormat="1">
      <alignment horizontal="right" readingOrder="0" shrinkToFit="0" vertical="bottom" wrapText="1"/>
    </xf>
    <xf borderId="0" fillId="13" fontId="3" numFmtId="0" xfId="0" applyAlignment="1" applyFont="1">
      <alignment shrinkToFit="0" vertical="bottom" wrapText="0"/>
    </xf>
    <xf borderId="0" fillId="0" fontId="3" numFmtId="169" xfId="0" applyAlignment="1" applyFont="1" applyNumberFormat="1">
      <alignment shrinkToFit="0" vertical="bottom" wrapText="1"/>
    </xf>
    <xf borderId="0" fillId="0" fontId="3" numFmtId="3" xfId="0" applyAlignment="1" applyFont="1" applyNumberForma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169" xfId="0" applyAlignment="1" applyFont="1" applyNumberFormat="1">
      <alignment horizontal="right" readingOrder="0" shrinkToFit="0" vertical="bottom" wrapText="1"/>
    </xf>
    <xf borderId="0" fillId="0" fontId="1" numFmtId="49" xfId="0" applyAlignment="1" applyFont="1" applyNumberFormat="1">
      <alignment shrinkToFit="0" wrapText="1"/>
    </xf>
    <xf borderId="4" fillId="0" fontId="3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shrinkToFit="0" wrapText="0"/>
    </xf>
    <xf borderId="4" fillId="0" fontId="1" numFmtId="169" xfId="0" applyAlignment="1" applyBorder="1" applyFont="1" applyNumberFormat="1">
      <alignment readingOrder="0" shrinkToFit="0" wrapText="0"/>
    </xf>
    <xf borderId="0" fillId="0" fontId="1" numFmtId="0" xfId="0" applyAlignment="1" applyFont="1">
      <alignment shrinkToFit="0" wrapText="0"/>
    </xf>
    <xf borderId="0" fillId="15" fontId="1" numFmtId="0" xfId="0" applyAlignment="1" applyFill="1" applyFont="1">
      <alignment shrinkToFit="0" wrapText="1"/>
    </xf>
    <xf borderId="0" fillId="15" fontId="1" numFmtId="0" xfId="0" applyAlignment="1" applyFont="1">
      <alignment shrinkToFit="0" wrapText="0"/>
    </xf>
    <xf borderId="0" fillId="15" fontId="1" numFmtId="0" xfId="0" applyAlignment="1" applyFont="1">
      <alignment readingOrder="0" shrinkToFit="0" wrapText="1"/>
    </xf>
    <xf borderId="0" fillId="15" fontId="1" numFmtId="168" xfId="0" applyAlignment="1" applyFont="1" applyNumberFormat="1">
      <alignment shrinkToFit="0" wrapText="1"/>
    </xf>
    <xf borderId="0" fillId="15" fontId="1" numFmtId="169" xfId="0" applyAlignment="1" applyFont="1" applyNumberFormat="1">
      <alignment readingOrder="0" shrinkToFit="0" wrapText="1"/>
    </xf>
    <xf borderId="0" fillId="0" fontId="1" numFmtId="169" xfId="0" applyAlignment="1" applyFont="1" applyNumberFormat="1">
      <alignment shrinkToFit="0" wrapText="0"/>
    </xf>
    <xf borderId="0" fillId="16" fontId="1" numFmtId="165" xfId="0" applyAlignment="1" applyFill="1" applyFont="1" applyNumberFormat="1">
      <alignment readingOrder="0" shrinkToFit="0" wrapText="1"/>
    </xf>
    <xf borderId="0" fillId="16" fontId="1" numFmtId="0" xfId="0" applyAlignment="1" applyFont="1">
      <alignment readingOrder="0" shrinkToFit="0" wrapText="0"/>
    </xf>
    <xf borderId="0" fillId="16" fontId="1" numFmtId="0" xfId="0" applyAlignment="1" applyFont="1">
      <alignment readingOrder="0" shrinkToFit="0" wrapText="1"/>
    </xf>
    <xf borderId="0" fillId="16" fontId="1" numFmtId="168" xfId="0" applyAlignment="1" applyFont="1" applyNumberFormat="1">
      <alignment shrinkToFit="0" wrapText="1"/>
    </xf>
    <xf borderId="0" fillId="16" fontId="1" numFmtId="169" xfId="0" applyAlignment="1" applyFont="1" applyNumberFormat="1">
      <alignment readingOrder="0" shrinkToFit="0" wrapText="1"/>
    </xf>
    <xf borderId="2" fillId="3" fontId="2" numFmtId="168" xfId="0" applyAlignment="1" applyBorder="1" applyFont="1" applyNumberFormat="1">
      <alignment horizontal="left" shrinkToFit="0" wrapText="0"/>
    </xf>
    <xf borderId="0" fillId="3" fontId="2" numFmtId="168" xfId="0" applyAlignment="1" applyFont="1" applyNumberForma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0" fillId="0" fontId="1" numFmtId="165" xfId="0" applyAlignment="1" applyFont="1" applyNumberFormat="1">
      <alignment readingOrder="0" shrinkToFit="0" wrapText="1"/>
    </xf>
    <xf borderId="0" fillId="0" fontId="26" numFmtId="169" xfId="0" applyAlignment="1" applyFont="1" applyNumberFormat="1">
      <alignment readingOrder="0" shrinkToFit="0" wrapText="1"/>
    </xf>
    <xf borderId="0" fillId="0" fontId="26" numFmtId="169" xfId="0" applyAlignment="1" applyFont="1" applyNumberFormat="1">
      <alignment shrinkToFit="0" wrapText="1"/>
    </xf>
    <xf borderId="0" fillId="16" fontId="1" numFmtId="165" xfId="0" applyAlignment="1" applyFont="1" applyNumberFormat="1">
      <alignment readingOrder="0" shrinkToFit="0" wrapText="0"/>
    </xf>
    <xf borderId="0" fillId="0" fontId="26" numFmtId="10" xfId="0" applyAlignment="1" applyFont="1" applyNumberFormat="1">
      <alignment readingOrder="0" shrinkToFit="0" wrapText="1"/>
    </xf>
    <xf borderId="2" fillId="0" fontId="26" numFmtId="168" xfId="0" applyAlignment="1" applyBorder="1" applyFont="1" applyNumberFormat="1">
      <alignment readingOrder="0" shrinkToFit="0" wrapText="1"/>
    </xf>
    <xf borderId="0" fillId="0" fontId="26" numFmtId="168" xfId="0" applyAlignment="1" applyFont="1" applyNumberFormat="1">
      <alignment readingOrder="0" shrinkToFit="0" wrapText="1"/>
    </xf>
    <xf borderId="2" fillId="0" fontId="26" numFmtId="10" xfId="0" applyAlignment="1" applyBorder="1" applyFont="1" applyNumberFormat="1">
      <alignment readingOrder="0" shrinkToFit="0" wrapText="1"/>
    </xf>
    <xf borderId="0" fillId="14" fontId="27" numFmtId="0" xfId="0" applyAlignment="1" applyFont="1">
      <alignment horizontal="left" readingOrder="0" shrinkToFit="0" wrapText="1"/>
    </xf>
    <xf borderId="0" fillId="15" fontId="1" numFmtId="0" xfId="0" applyAlignment="1" applyFont="1">
      <alignment readingOrder="0" shrinkToFit="0" wrapText="0"/>
    </xf>
    <xf borderId="0" fillId="15" fontId="1" numFmtId="165" xfId="0" applyAlignment="1" applyFont="1" applyNumberFormat="1">
      <alignment readingOrder="0" shrinkToFit="0" wrapText="1"/>
    </xf>
    <xf borderId="0" fillId="15" fontId="1" numFmtId="169" xfId="0" applyAlignment="1" applyFont="1" applyNumberFormat="1">
      <alignment shrinkToFit="0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 shrinkToFit="0" wrapText="0"/>
    </xf>
    <xf borderId="0" fillId="3" fontId="2" numFmtId="0" xfId="0" applyAlignment="1" applyFont="1">
      <alignment horizontal="center" readingOrder="0" shrinkToFit="0" wrapText="0"/>
    </xf>
    <xf borderId="0" fillId="3" fontId="2" numFmtId="179" xfId="0" applyAlignment="1" applyFont="1" applyNumberFormat="1">
      <alignment horizontal="center" readingOrder="0" shrinkToFit="0" wrapText="1"/>
    </xf>
    <xf borderId="0" fillId="3" fontId="2" numFmtId="179" xfId="0" applyAlignment="1" applyFont="1" applyNumberFormat="1">
      <alignment horizontal="center" readingOrder="0" shrinkToFit="0" wrapText="1"/>
    </xf>
    <xf borderId="0" fillId="3" fontId="2" numFmtId="10" xfId="0" applyAlignment="1" applyFont="1" applyNumberFormat="1">
      <alignment horizontal="center" readingOrder="0" shrinkToFit="0" wrapText="1"/>
    </xf>
    <xf borderId="0" fillId="6" fontId="1" numFmtId="0" xfId="0" applyAlignment="1" applyFont="1">
      <alignment readingOrder="0" shrinkToFit="0" wrapText="1"/>
    </xf>
    <xf borderId="0" fillId="6" fontId="1" numFmtId="164" xfId="0" applyAlignment="1" applyFont="1" applyNumberFormat="1">
      <alignment readingOrder="0" shrinkToFit="0" wrapText="1"/>
    </xf>
    <xf borderId="0" fillId="6" fontId="26" numFmtId="0" xfId="0" applyAlignment="1" applyFont="1">
      <alignment horizontal="left" readingOrder="0" shrinkToFit="0" wrapText="1"/>
    </xf>
    <xf borderId="0" fillId="6" fontId="1" numFmtId="0" xfId="0" applyAlignment="1" applyFont="1">
      <alignment readingOrder="0" shrinkToFit="0" wrapText="0"/>
    </xf>
    <xf borderId="0" fillId="6" fontId="1" numFmtId="168" xfId="0" applyAlignment="1" applyFont="1" applyNumberFormat="1">
      <alignment readingOrder="0" shrinkToFit="0" wrapText="1"/>
    </xf>
    <xf borderId="0" fillId="6" fontId="1" numFmtId="179" xfId="0" applyAlignment="1" applyFont="1" applyNumberFormat="1">
      <alignment readingOrder="0" shrinkToFit="0" wrapText="1"/>
    </xf>
    <xf borderId="0" fillId="6" fontId="1" numFmtId="180" xfId="0" applyAlignment="1" applyFont="1" applyNumberFormat="1">
      <alignment readingOrder="0" shrinkToFit="0" wrapText="1"/>
    </xf>
    <xf borderId="0" fillId="6" fontId="3" numFmtId="171" xfId="0" applyAlignment="1" applyFont="1" applyNumberFormat="1">
      <alignment horizontal="right" readingOrder="0" shrinkToFit="0" vertical="bottom" wrapText="1"/>
    </xf>
    <xf borderId="0" fillId="6" fontId="1" numFmtId="10" xfId="0" applyAlignment="1" applyFont="1" applyNumberFormat="1">
      <alignment readingOrder="0" shrinkToFit="0" wrapText="0"/>
    </xf>
    <xf borderId="0" fillId="6" fontId="1" numFmtId="10" xfId="0" applyAlignment="1" applyFont="1" applyNumberFormat="1">
      <alignment readingOrder="0" shrinkToFit="0" wrapText="1"/>
    </xf>
    <xf borderId="0" fillId="6" fontId="1" numFmtId="179" xfId="0" applyAlignment="1" applyFont="1" applyNumberFormat="1">
      <alignment readingOrder="0" shrinkToFit="0" wrapText="1"/>
    </xf>
    <xf borderId="0" fillId="6" fontId="15" numFmtId="164" xfId="0" applyAlignment="1" applyFont="1" applyNumberFormat="1">
      <alignment readingOrder="0" shrinkToFit="0" wrapText="1"/>
    </xf>
    <xf borderId="0" fillId="6" fontId="15" numFmtId="10" xfId="0" applyAlignment="1" applyFont="1" applyNumberFormat="1">
      <alignment readingOrder="0" shrinkToFit="0" wrapText="1"/>
    </xf>
    <xf borderId="0" fillId="14" fontId="28" numFmtId="0" xfId="0" applyAlignment="1" applyFont="1">
      <alignment shrinkToFit="0" vertical="bottom" wrapText="1"/>
    </xf>
    <xf borderId="0" fillId="14" fontId="27" numFmtId="0" xfId="0" applyAlignment="1" applyFont="1">
      <alignment horizontal="left" readingOrder="0" shrinkToFit="0" vertical="bottom" wrapText="0"/>
    </xf>
    <xf borderId="0" fillId="14" fontId="27" numFmtId="0" xfId="0" applyAlignment="1" applyFont="1">
      <alignment horizontal="left" readingOrder="0" shrinkToFit="0" vertical="bottom" wrapText="1"/>
    </xf>
    <xf borderId="0" fillId="15" fontId="1" numFmtId="164" xfId="0" applyAlignment="1" applyFont="1" applyNumberFormat="1">
      <alignment readingOrder="0" shrinkToFit="0" wrapText="1"/>
    </xf>
    <xf borderId="0" fillId="15" fontId="26" numFmtId="0" xfId="0" applyAlignment="1" applyFont="1">
      <alignment horizontal="left" readingOrder="0" shrinkToFit="0" wrapText="1"/>
    </xf>
    <xf borderId="0" fillId="15" fontId="1" numFmtId="0" xfId="0" applyAlignment="1" applyFont="1">
      <alignment readingOrder="0" shrinkToFit="0" wrapText="0"/>
    </xf>
    <xf borderId="0" fillId="15" fontId="1" numFmtId="168" xfId="0" applyAlignment="1" applyFont="1" applyNumberFormat="1">
      <alignment readingOrder="0" shrinkToFit="0" wrapText="1"/>
    </xf>
    <xf borderId="0" fillId="15" fontId="1" numFmtId="179" xfId="0" applyAlignment="1" applyFont="1" applyNumberFormat="1">
      <alignment readingOrder="0" shrinkToFit="0" wrapText="1"/>
    </xf>
    <xf borderId="0" fillId="15" fontId="1" numFmtId="180" xfId="0" applyAlignment="1" applyFont="1" applyNumberFormat="1">
      <alignment readingOrder="0" shrinkToFit="0" wrapText="1"/>
    </xf>
    <xf borderId="0" fillId="15" fontId="1" numFmtId="164" xfId="0" applyAlignment="1" applyFont="1" applyNumberFormat="1">
      <alignment shrinkToFit="0" wrapText="1"/>
    </xf>
    <xf borderId="0" fillId="15" fontId="3" numFmtId="171" xfId="0" applyAlignment="1" applyFont="1" applyNumberFormat="1">
      <alignment horizontal="right" readingOrder="0" shrinkToFit="0" vertical="bottom" wrapText="1"/>
    </xf>
    <xf borderId="0" fillId="15" fontId="1" numFmtId="10" xfId="0" applyAlignment="1" applyFont="1" applyNumberFormat="1">
      <alignment readingOrder="0" shrinkToFit="0" wrapText="0"/>
    </xf>
    <xf borderId="0" fillId="15" fontId="1" numFmtId="10" xfId="0" applyAlignment="1" applyFont="1" applyNumberFormat="1">
      <alignment shrinkToFit="0" wrapText="1"/>
    </xf>
    <xf borderId="0" fillId="15" fontId="1" numFmtId="10" xfId="0" applyAlignment="1" applyFont="1" applyNumberFormat="1">
      <alignment readingOrder="0" shrinkToFit="0" wrapText="1"/>
    </xf>
    <xf borderId="0" fillId="15" fontId="1" numFmtId="179" xfId="0" applyAlignment="1" applyFont="1" applyNumberFormat="1">
      <alignment shrinkToFit="0" wrapText="1"/>
    </xf>
    <xf borderId="0" fillId="15" fontId="15" numFmtId="164" xfId="0" applyAlignment="1" applyFont="1" applyNumberFormat="1">
      <alignment readingOrder="0" shrinkToFit="0" wrapText="1"/>
    </xf>
    <xf borderId="0" fillId="15" fontId="15" numFmtId="10" xfId="0" applyAlignment="1" applyFont="1" applyNumberFormat="1">
      <alignment readingOrder="0" shrinkToFit="0" wrapText="1"/>
    </xf>
    <xf borderId="0" fillId="9" fontId="1" numFmtId="165" xfId="0" applyAlignment="1" applyFont="1" applyNumberFormat="1">
      <alignment readingOrder="0" shrinkToFit="0" wrapText="1"/>
    </xf>
    <xf borderId="0" fillId="9" fontId="1" numFmtId="165" xfId="0" applyAlignment="1" applyFont="1" applyNumberFormat="1">
      <alignment readingOrder="0" shrinkToFit="0" wrapText="0"/>
    </xf>
    <xf borderId="0" fillId="9" fontId="1" numFmtId="0" xfId="0" applyAlignment="1" applyFont="1">
      <alignment readingOrder="0" shrinkToFit="0" wrapText="1"/>
    </xf>
    <xf borderId="0" fillId="9" fontId="1" numFmtId="169" xfId="0" applyAlignment="1" applyFont="1" applyNumberFormat="1">
      <alignment readingOrder="0" shrinkToFit="0" wrapText="1"/>
    </xf>
    <xf borderId="0" fillId="15" fontId="1" numFmtId="179" xfId="0" applyAlignment="1" applyFont="1" applyNumberFormat="1">
      <alignment readingOrder="0" shrinkToFit="0" wrapText="1"/>
    </xf>
    <xf borderId="0" fillId="16" fontId="4" numFmtId="0" xfId="0" applyAlignment="1" applyFont="1">
      <alignment horizontal="center" readingOrder="0" shrinkToFit="0" vertical="bottom" wrapText="1"/>
    </xf>
    <xf borderId="0" fillId="0" fontId="3" numFmtId="181" xfId="0" applyAlignment="1" applyFont="1" applyNumberFormat="1">
      <alignment horizontal="right" readingOrder="0" shrinkToFit="0" vertical="bottom" wrapText="1"/>
    </xf>
    <xf borderId="0" fillId="4" fontId="27" numFmtId="169" xfId="0" applyAlignment="1" applyFont="1" applyNumberFormat="1">
      <alignment horizontal="right" readingOrder="0" shrinkToFit="0" wrapText="1"/>
    </xf>
    <xf borderId="0" fillId="4" fontId="3" numFmtId="169" xfId="0" applyAlignment="1" applyFont="1" applyNumberFormat="1">
      <alignment horizontal="right" readingOrder="0" shrinkToFit="0" vertical="bottom" wrapText="1"/>
    </xf>
    <xf borderId="0" fillId="4" fontId="3" numFmtId="169" xfId="0" applyAlignment="1" applyFont="1" applyNumberFormat="1">
      <alignment horizontal="right" shrinkToFit="0" vertical="bottom" wrapText="1"/>
    </xf>
    <xf borderId="0" fillId="4" fontId="3" numFmtId="182" xfId="0" applyAlignment="1" applyFont="1" applyNumberFormat="1">
      <alignment horizontal="right" shrinkToFit="0" vertical="bottom" wrapText="1"/>
    </xf>
    <xf borderId="0" fillId="4" fontId="3" numFmtId="183" xfId="0" applyAlignment="1" applyFont="1" applyNumberFormat="1">
      <alignment horizontal="right" shrinkToFit="0" vertical="bottom" wrapText="1"/>
    </xf>
    <xf borderId="1" fillId="0" fontId="18" numFmtId="0" xfId="0" applyAlignment="1" applyBorder="1" applyFont="1">
      <alignment horizontal="right" readingOrder="0" shrinkToFit="0" vertical="bottom" wrapText="1"/>
    </xf>
    <xf borderId="1" fillId="4" fontId="18" numFmtId="182" xfId="0" applyAlignment="1" applyBorder="1" applyFont="1" applyNumberFormat="1">
      <alignment horizontal="right" shrinkToFit="0" vertical="bottom" wrapText="1"/>
    </xf>
    <xf borderId="0" fillId="16" fontId="4" numFmtId="173" xfId="0" applyAlignment="1" applyFont="1" applyNumberFormat="1">
      <alignment horizontal="center" readingOrder="0" shrinkToFit="0" vertical="bottom" wrapText="1"/>
    </xf>
    <xf borderId="0" fillId="14" fontId="3" numFmtId="165" xfId="0" applyAlignment="1" applyFont="1" applyNumberFormat="1">
      <alignment horizontal="right" readingOrder="0" shrinkToFit="0" vertical="bottom" wrapText="1"/>
    </xf>
    <xf borderId="0" fillId="14" fontId="1" numFmtId="0" xfId="0" applyAlignment="1" applyFont="1">
      <alignment readingOrder="0" shrinkToFit="0" wrapText="1"/>
    </xf>
    <xf borderId="0" fillId="14" fontId="3" numFmtId="169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15" fontId="3" numFmtId="0" xfId="0" applyAlignment="1" applyFont="1">
      <alignment shrinkToFit="0" vertical="bottom" wrapText="1"/>
    </xf>
    <xf borderId="0" fillId="15" fontId="3" numFmtId="164" xfId="0" applyAlignment="1" applyFont="1" applyNumberFormat="1">
      <alignment shrinkToFit="0" vertical="bottom" wrapText="1"/>
    </xf>
    <xf borderId="0" fillId="15" fontId="3" numFmtId="0" xfId="0" applyAlignment="1" applyFont="1">
      <alignment readingOrder="0" shrinkToFit="0" vertical="bottom" wrapText="1"/>
    </xf>
    <xf borderId="0" fillId="15" fontId="3" numFmtId="0" xfId="0" applyAlignment="1" applyFont="1">
      <alignment readingOrder="0" shrinkToFit="0" vertical="bottom" wrapText="0"/>
    </xf>
    <xf borderId="0" fillId="15" fontId="3" numFmtId="168" xfId="0" applyAlignment="1" applyFont="1" applyNumberFormat="1">
      <alignment horizontal="right" readingOrder="0" shrinkToFit="0" vertical="bottom" wrapText="1"/>
    </xf>
    <xf borderId="0" fillId="15" fontId="3" numFmtId="179" xfId="0" applyAlignment="1" applyFont="1" applyNumberFormat="1">
      <alignment horizontal="right" readingOrder="0" shrinkToFit="0" vertical="bottom" wrapText="1"/>
    </xf>
    <xf borderId="0" fillId="15" fontId="3" numFmtId="164" xfId="0" applyAlignment="1" applyFont="1" applyNumberFormat="1">
      <alignment horizontal="center" readingOrder="0" shrinkToFit="0" vertical="bottom" wrapText="1"/>
    </xf>
    <xf borderId="0" fillId="15" fontId="3" numFmtId="10" xfId="0" applyAlignment="1" applyFont="1" applyNumberFormat="1">
      <alignment horizontal="right" readingOrder="0" shrinkToFit="0" vertical="bottom" wrapText="1"/>
    </xf>
    <xf borderId="0" fillId="15" fontId="3" numFmtId="179" xfId="0" applyAlignment="1" applyFont="1" applyNumberFormat="1">
      <alignment horizontal="right" readingOrder="0" shrinkToFit="0" vertical="bottom" wrapText="1"/>
    </xf>
    <xf borderId="0" fillId="15" fontId="18" numFmtId="164" xfId="0" applyAlignment="1" applyFont="1" applyNumberFormat="1">
      <alignment horizontal="right" readingOrder="0" shrinkToFit="0" vertical="bottom" wrapText="1"/>
    </xf>
    <xf borderId="0" fillId="15" fontId="18" numFmtId="10" xfId="0" applyAlignment="1" applyFont="1" applyNumberFormat="1">
      <alignment horizontal="right" readingOrder="0" shrinkToFit="0" vertical="bottom" wrapText="1"/>
    </xf>
    <xf borderId="0" fillId="7" fontId="1" numFmtId="0" xfId="0" applyAlignment="1" applyFont="1">
      <alignment readingOrder="0" shrinkToFit="0" wrapText="1"/>
    </xf>
    <xf borderId="0" fillId="7" fontId="1" numFmtId="164" xfId="0" applyAlignment="1" applyFont="1" applyNumberFormat="1">
      <alignment readingOrder="0" shrinkToFit="0" wrapText="1"/>
    </xf>
    <xf borderId="0" fillId="7" fontId="26" numFmtId="0" xfId="0" applyAlignment="1" applyFont="1">
      <alignment horizontal="left" readingOrder="0" shrinkToFit="0" wrapText="1"/>
    </xf>
    <xf borderId="0" fillId="7" fontId="1" numFmtId="0" xfId="0" applyAlignment="1" applyFont="1">
      <alignment readingOrder="0" shrinkToFit="0" wrapText="0"/>
    </xf>
    <xf borderId="0" fillId="7" fontId="1" numFmtId="168" xfId="0" applyAlignment="1" applyFont="1" applyNumberFormat="1">
      <alignment readingOrder="0" shrinkToFit="0" wrapText="1"/>
    </xf>
    <xf borderId="0" fillId="7" fontId="1" numFmtId="179" xfId="0" applyAlignment="1" applyFont="1" applyNumberFormat="1">
      <alignment readingOrder="0" shrinkToFit="0" wrapText="1"/>
    </xf>
    <xf borderId="0" fillId="7" fontId="1" numFmtId="180" xfId="0" applyAlignment="1" applyFont="1" applyNumberFormat="1">
      <alignment readingOrder="0" shrinkToFit="0" wrapText="1"/>
    </xf>
    <xf borderId="0" fillId="14" fontId="3" numFmtId="165" xfId="0" applyAlignment="1" applyFont="1" applyNumberFormat="1">
      <alignment horizontal="right" shrinkToFit="0" vertical="bottom" wrapText="1"/>
    </xf>
    <xf borderId="0" fillId="14" fontId="3" numFmtId="0" xfId="0" applyAlignment="1" applyFont="1">
      <alignment shrinkToFit="0" vertical="bottom" wrapText="1"/>
    </xf>
    <xf borderId="0" fillId="3" fontId="3" numFmtId="171" xfId="0" applyAlignment="1" applyFont="1" applyNumberFormat="1">
      <alignment horizontal="right" readingOrder="0" shrinkToFit="0" vertical="bottom" wrapText="1"/>
    </xf>
    <xf borderId="0" fillId="14" fontId="3" numFmtId="169" xfId="0" applyAlignment="1" applyFont="1" applyNumberFormat="1">
      <alignment horizontal="right" shrinkToFit="0" vertical="bottom" wrapText="1"/>
    </xf>
    <xf borderId="0" fillId="7" fontId="1" numFmtId="10" xfId="0" applyAlignment="1" applyFont="1" applyNumberFormat="1">
      <alignment readingOrder="0" shrinkToFit="0" wrapText="0"/>
    </xf>
    <xf borderId="0" fillId="7" fontId="1" numFmtId="10" xfId="0" applyAlignment="1" applyFont="1" applyNumberFormat="1">
      <alignment readingOrder="0" shrinkToFit="0" wrapText="1"/>
    </xf>
    <xf borderId="0" fillId="7" fontId="1" numFmtId="179" xfId="0" applyAlignment="1" applyFont="1" applyNumberFormat="1">
      <alignment readingOrder="0" shrinkToFit="0" wrapText="1"/>
    </xf>
    <xf borderId="0" fillId="7" fontId="15" numFmtId="164" xfId="0" applyAlignment="1" applyFont="1" applyNumberFormat="1">
      <alignment readingOrder="0" shrinkToFit="0" wrapText="1"/>
    </xf>
    <xf borderId="0" fillId="7" fontId="15" numFmtId="10" xfId="0" applyAlignment="1" applyFont="1" applyNumberFormat="1">
      <alignment readingOrder="0" shrinkToFit="0" wrapText="1"/>
    </xf>
    <xf borderId="0" fillId="14" fontId="1" numFmtId="0" xfId="0" applyAlignment="1" applyFont="1">
      <alignment readingOrder="0" shrinkToFit="0" wrapText="1"/>
    </xf>
    <xf borderId="0" fillId="13" fontId="1" numFmtId="0" xfId="0" applyAlignment="1" applyFont="1">
      <alignment readingOrder="0" shrinkToFit="0" wrapText="1"/>
    </xf>
    <xf borderId="0" fillId="13" fontId="1" numFmtId="164" xfId="0" applyAlignment="1" applyFont="1" applyNumberFormat="1">
      <alignment readingOrder="0" shrinkToFit="0" wrapText="1"/>
    </xf>
    <xf borderId="0" fillId="13" fontId="26" numFmtId="0" xfId="0" applyAlignment="1" applyFont="1">
      <alignment horizontal="left" readingOrder="0" shrinkToFit="0" wrapText="1"/>
    </xf>
    <xf borderId="0" fillId="13" fontId="1" numFmtId="0" xfId="0" applyAlignment="1" applyFont="1">
      <alignment readingOrder="0" shrinkToFit="0" wrapText="0"/>
    </xf>
    <xf borderId="0" fillId="13" fontId="1" numFmtId="168" xfId="0" applyAlignment="1" applyFont="1" applyNumberFormat="1">
      <alignment readingOrder="0" shrinkToFit="0" wrapText="1"/>
    </xf>
    <xf borderId="0" fillId="13" fontId="1" numFmtId="179" xfId="0" applyAlignment="1" applyFont="1" applyNumberFormat="1">
      <alignment readingOrder="0" shrinkToFit="0" wrapText="1"/>
    </xf>
    <xf borderId="0" fillId="13" fontId="1" numFmtId="180" xfId="0" applyAlignment="1" applyFont="1" applyNumberFormat="1">
      <alignment readingOrder="0" shrinkToFit="0" wrapText="1"/>
    </xf>
    <xf borderId="0" fillId="13" fontId="3" numFmtId="171" xfId="0" applyAlignment="1" applyFont="1" applyNumberFormat="1">
      <alignment horizontal="right" readingOrder="0" shrinkToFit="0" vertical="bottom" wrapText="1"/>
    </xf>
    <xf borderId="0" fillId="13" fontId="1" numFmtId="10" xfId="0" applyAlignment="1" applyFont="1" applyNumberFormat="1">
      <alignment readingOrder="0" shrinkToFit="0" wrapText="0"/>
    </xf>
    <xf borderId="0" fillId="13" fontId="1" numFmtId="10" xfId="0" applyAlignment="1" applyFont="1" applyNumberFormat="1">
      <alignment readingOrder="0" shrinkToFit="0" wrapText="1"/>
    </xf>
    <xf borderId="0" fillId="13" fontId="1" numFmtId="179" xfId="0" applyAlignment="1" applyFont="1" applyNumberFormat="1">
      <alignment readingOrder="0" shrinkToFit="0" wrapText="1"/>
    </xf>
    <xf borderId="0" fillId="13" fontId="15" numFmtId="164" xfId="0" applyAlignment="1" applyFont="1" applyNumberFormat="1">
      <alignment readingOrder="0" shrinkToFit="0" wrapText="1"/>
    </xf>
    <xf borderId="0" fillId="13" fontId="15" numFmtId="10" xfId="0" applyAlignment="1" applyFont="1" applyNumberFormat="1">
      <alignment readingOrder="0" shrinkToFit="0" wrapText="1"/>
    </xf>
    <xf borderId="0" fillId="13" fontId="18" numFmtId="164" xfId="0" applyAlignment="1" applyFont="1" applyNumberFormat="1">
      <alignment horizontal="right" shrinkToFit="0" vertical="bottom" wrapText="1"/>
    </xf>
    <xf borderId="0" fillId="0" fontId="29" numFmtId="0" xfId="0" applyAlignment="1" applyFont="1">
      <alignment horizontal="center" readingOrder="0" shrinkToFit="0" vertical="bottom" wrapText="1"/>
    </xf>
    <xf borderId="0" fillId="13" fontId="18" numFmtId="10" xfId="0" applyAlignment="1" applyFont="1" applyNumberFormat="1">
      <alignment horizontal="right" shrinkToFit="0" vertical="bottom" wrapText="1"/>
    </xf>
    <xf borderId="0" fillId="0" fontId="30" numFmtId="0" xfId="0" applyAlignment="1" applyFont="1">
      <alignment horizontal="left" readingOrder="0" shrinkToFit="0" wrapText="1"/>
    </xf>
    <xf borderId="0" fillId="0" fontId="30" numFmtId="0" xfId="0" applyAlignment="1" applyFont="1">
      <alignment horizontal="left" readingOrder="0" shrinkToFit="0" wrapText="1"/>
    </xf>
    <xf borderId="0" fillId="0" fontId="31" numFmtId="0" xfId="0" applyAlignment="1" applyFont="1">
      <alignment horizontal="left" readingOrder="0" shrinkToFit="0" wrapText="1"/>
    </xf>
    <xf borderId="0" fillId="0" fontId="15" numFmtId="169" xfId="0" applyAlignment="1" applyFont="1" applyNumberFormat="1">
      <alignment shrinkToFit="0" wrapText="1"/>
    </xf>
    <xf borderId="1" fillId="0" fontId="29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wrapText="1"/>
    </xf>
    <xf borderId="1" fillId="0" fontId="31" numFmtId="0" xfId="0" applyAlignment="1" applyBorder="1" applyFont="1">
      <alignment horizontal="left" readingOrder="0" shrinkToFit="0" wrapText="1"/>
    </xf>
    <xf borderId="1" fillId="0" fontId="15" numFmtId="169" xfId="0" applyAlignment="1" applyBorder="1" applyFont="1" applyNumberFormat="1">
      <alignment shrinkToFit="0" wrapText="1"/>
    </xf>
    <xf borderId="0" fillId="0" fontId="15" numFmtId="164" xfId="0" applyAlignment="1" applyFont="1" applyNumberFormat="1">
      <alignment readingOrder="0" shrinkToFit="0" wrapText="1"/>
    </xf>
    <xf borderId="0" fillId="0" fontId="15" numFmtId="164" xfId="0" applyAlignment="1" applyFont="1" applyNumberFormat="1">
      <alignment shrinkToFit="0" wrapText="1"/>
    </xf>
    <xf borderId="0" fillId="17" fontId="1" numFmtId="0" xfId="0" applyAlignment="1" applyFill="1" applyFont="1">
      <alignment readingOrder="0" shrinkToFit="0" wrapText="1"/>
    </xf>
    <xf borderId="0" fillId="17" fontId="1" numFmtId="164" xfId="0" applyAlignment="1" applyFont="1" applyNumberFormat="1">
      <alignment readingOrder="0" shrinkToFit="0" wrapText="1"/>
    </xf>
    <xf borderId="0" fillId="17" fontId="26" numFmtId="0" xfId="0" applyAlignment="1" applyFont="1">
      <alignment horizontal="left" readingOrder="0" shrinkToFit="0" wrapText="1"/>
    </xf>
    <xf borderId="0" fillId="17" fontId="1" numFmtId="0" xfId="0" applyAlignment="1" applyFont="1">
      <alignment readingOrder="0" shrinkToFit="0" wrapText="0"/>
    </xf>
    <xf borderId="0" fillId="17" fontId="1" numFmtId="168" xfId="0" applyAlignment="1" applyFont="1" applyNumberFormat="1">
      <alignment readingOrder="0" shrinkToFit="0" wrapText="1"/>
    </xf>
    <xf borderId="0" fillId="17" fontId="1" numFmtId="179" xfId="0" applyAlignment="1" applyFont="1" applyNumberFormat="1">
      <alignment readingOrder="0" shrinkToFit="0" wrapText="1"/>
    </xf>
    <xf borderId="0" fillId="17" fontId="1" numFmtId="180" xfId="0" applyAlignment="1" applyFont="1" applyNumberFormat="1">
      <alignment readingOrder="0" shrinkToFit="0" wrapText="1"/>
    </xf>
    <xf borderId="0" fillId="17" fontId="3" numFmtId="171" xfId="0" applyAlignment="1" applyFont="1" applyNumberFormat="1">
      <alignment horizontal="right" readingOrder="0" shrinkToFit="0" vertical="bottom" wrapText="1"/>
    </xf>
    <xf borderId="0" fillId="17" fontId="1" numFmtId="10" xfId="0" applyAlignment="1" applyFont="1" applyNumberFormat="1">
      <alignment readingOrder="0" shrinkToFit="0" wrapText="0"/>
    </xf>
    <xf borderId="0" fillId="17" fontId="1" numFmtId="10" xfId="0" applyAlignment="1" applyFont="1" applyNumberFormat="1">
      <alignment readingOrder="0" shrinkToFit="0" wrapText="1"/>
    </xf>
    <xf borderId="0" fillId="0" fontId="3" numFmtId="10" xfId="0" applyAlignment="1" applyFont="1" applyNumberFormat="1">
      <alignment horizontal="right" readingOrder="0" shrinkToFit="0" vertical="bottom" wrapText="1"/>
    </xf>
    <xf borderId="0" fillId="17" fontId="1" numFmtId="179" xfId="0" applyAlignment="1" applyFont="1" applyNumberFormat="1">
      <alignment readingOrder="0" shrinkToFit="0" wrapText="1"/>
    </xf>
    <xf borderId="0" fillId="17" fontId="15" numFmtId="164" xfId="0" applyAlignment="1" applyFont="1" applyNumberFormat="1">
      <alignment readingOrder="0" shrinkToFit="0" wrapText="1"/>
    </xf>
    <xf borderId="0" fillId="17" fontId="15" numFmtId="10" xfId="0" applyAlignment="1" applyFont="1" applyNumberFormat="1">
      <alignment readingOrder="0" shrinkToFit="0" wrapText="1"/>
    </xf>
    <xf borderId="0" fillId="0" fontId="32" numFmtId="16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0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E69999"/>
          <bgColor rgb="FFE6999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color rgb="FFEFEFE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WWW.ALIEXPRESS.COM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7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8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4" width="14.43"/>
    <col customWidth="1" min="5" max="5" width="15.14"/>
    <col customWidth="1" min="6" max="6" width="14.43"/>
  </cols>
  <sheetData>
    <row r="1">
      <c r="A1" s="1" t="s">
        <v>0</v>
      </c>
      <c r="B1" s="1">
        <v>24.0</v>
      </c>
      <c r="C1" s="1">
        <v>25.0</v>
      </c>
      <c r="D1" s="1">
        <v>26.0</v>
      </c>
      <c r="E1" s="1">
        <v>5.0</v>
      </c>
      <c r="F1" s="1">
        <v>19.0</v>
      </c>
    </row>
    <row r="2">
      <c r="A2" s="1" t="s">
        <v>1</v>
      </c>
      <c r="B2" s="1">
        <v>17.0</v>
      </c>
      <c r="C2" s="1">
        <v>3.0</v>
      </c>
      <c r="D2" s="1">
        <v>18.0</v>
      </c>
      <c r="E2" s="1">
        <v>23.0</v>
      </c>
      <c r="F2" s="1">
        <v>54.0</v>
      </c>
    </row>
    <row r="3">
      <c r="A3" s="1" t="s">
        <v>2</v>
      </c>
      <c r="B3" s="1">
        <v>42.0</v>
      </c>
      <c r="C3" s="1">
        <v>43.0</v>
      </c>
      <c r="D3" s="1">
        <v>44.0</v>
      </c>
      <c r="E3" s="1">
        <v>29.0</v>
      </c>
      <c r="F3" s="1">
        <v>28.0</v>
      </c>
    </row>
    <row r="4">
      <c r="A4" s="1" t="s">
        <v>3</v>
      </c>
      <c r="B4" s="1">
        <v>32.0</v>
      </c>
      <c r="C4" s="1">
        <v>33.0</v>
      </c>
      <c r="D4" s="1">
        <v>34.0</v>
      </c>
      <c r="E4" s="1">
        <v>35.0</v>
      </c>
      <c r="F4" s="1">
        <v>36.0</v>
      </c>
    </row>
    <row r="5">
      <c r="A5" s="1" t="s">
        <v>4</v>
      </c>
      <c r="B5" s="1">
        <v>45.0</v>
      </c>
      <c r="C5" s="1">
        <v>46.0</v>
      </c>
      <c r="D5" s="1">
        <v>47.0</v>
      </c>
      <c r="E5" s="1">
        <v>48.0</v>
      </c>
      <c r="F5" s="1">
        <v>53.0</v>
      </c>
    </row>
    <row r="6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  <row r="7">
      <c r="A7" s="1">
        <v>34.0</v>
      </c>
      <c r="B7" s="1">
        <v>32.0</v>
      </c>
      <c r="C7" s="1">
        <v>33.0</v>
      </c>
      <c r="D7" s="1">
        <v>57.0</v>
      </c>
      <c r="E7" s="1">
        <v>35.0</v>
      </c>
      <c r="F7" s="1">
        <v>46.0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>
      <c r="A2" s="4" t="s">
        <v>21</v>
      </c>
      <c r="B2" s="5">
        <v>-340.6</v>
      </c>
      <c r="C2" s="6">
        <v>24.0</v>
      </c>
      <c r="D2" s="7">
        <v>42988.0</v>
      </c>
      <c r="E2" s="7">
        <f t="shared" ref="E2:E7" si="1">IF(AND($C2&lt;&gt;"",$D2&lt;&gt;""),$D2+DATE(0,$C2,0),"")</f>
        <v>43688</v>
      </c>
      <c r="F2" s="8">
        <f t="shared" ref="F2:F7" si="2">IF($C2,ABS($C2*$B2),"")</f>
        <v>8174.4</v>
      </c>
      <c r="G2" s="8">
        <f t="shared" ref="G2:G7" si="3">IF(AND($F2&lt;&gt;"",$B2&lt;0),MOD(ABS($F2),1000),"")</f>
        <v>174.4</v>
      </c>
      <c r="H2" s="9">
        <f t="shared" ref="H2:H7" si="4">IF($G2,$G2/($F2-$G2)/($C2/23),"")</f>
        <v>0.02089166667</v>
      </c>
      <c r="I2">
        <f t="shared" ref="I2:I7" si="5">IF(AND($E2&lt;&gt;"",TODAY()&lt;=$E2),DATEDIF(TODAY(),$E2,"M")+1,"")</f>
        <v>8</v>
      </c>
      <c r="J2" s="8">
        <f t="shared" ref="J2:J7" si="6">IF(AND($E2&lt;&gt;"",TODAY()&lt;=$E2),$I2*$B2,"")</f>
        <v>-2724.8</v>
      </c>
    </row>
    <row r="3">
      <c r="A3" s="4" t="s">
        <v>22</v>
      </c>
      <c r="B3" s="5">
        <v>-704.62</v>
      </c>
      <c r="C3" s="6">
        <v>36.0</v>
      </c>
      <c r="D3" s="7">
        <v>43286.0</v>
      </c>
      <c r="E3" s="7">
        <f t="shared" si="1"/>
        <v>44351</v>
      </c>
      <c r="F3" s="8">
        <f t="shared" si="2"/>
        <v>25366.32</v>
      </c>
      <c r="G3" s="8">
        <f t="shared" si="3"/>
        <v>366.32</v>
      </c>
      <c r="H3" s="9">
        <f t="shared" si="4"/>
        <v>0.009361511111</v>
      </c>
      <c r="I3">
        <f t="shared" si="5"/>
        <v>29</v>
      </c>
      <c r="J3" s="8">
        <f t="shared" si="6"/>
        <v>-20433.98</v>
      </c>
    </row>
    <row r="4">
      <c r="A4" s="4" t="s">
        <v>23</v>
      </c>
      <c r="B4" s="5">
        <f>-903.45-B3</f>
        <v>-198.83</v>
      </c>
      <c r="E4" s="7" t="str">
        <f t="shared" si="1"/>
        <v/>
      </c>
      <c r="F4" s="8" t="str">
        <f t="shared" si="2"/>
        <v/>
      </c>
      <c r="G4" s="8" t="str">
        <f t="shared" si="3"/>
        <v/>
      </c>
      <c r="H4" s="9" t="str">
        <f t="shared" si="4"/>
        <v/>
      </c>
      <c r="I4" t="str">
        <f t="shared" si="5"/>
        <v/>
      </c>
      <c r="J4" t="str">
        <f t="shared" si="6"/>
        <v/>
      </c>
    </row>
    <row r="5">
      <c r="A5" s="4" t="s">
        <v>24</v>
      </c>
      <c r="B5" s="5">
        <f>16.48*DAY(EOMONTH(TODAY(),0))</f>
        <v>510.88</v>
      </c>
      <c r="E5" s="7" t="str">
        <f t="shared" si="1"/>
        <v/>
      </c>
      <c r="F5" s="8" t="str">
        <f t="shared" si="2"/>
        <v/>
      </c>
      <c r="G5" s="8" t="str">
        <f t="shared" si="3"/>
        <v/>
      </c>
      <c r="H5" s="9" t="str">
        <f t="shared" si="4"/>
        <v/>
      </c>
      <c r="I5" t="str">
        <f t="shared" si="5"/>
        <v/>
      </c>
      <c r="J5" t="str">
        <f t="shared" si="6"/>
        <v/>
      </c>
    </row>
    <row r="6">
      <c r="A6" s="4" t="s">
        <v>25</v>
      </c>
      <c r="B6" s="5">
        <v>207.0</v>
      </c>
      <c r="E6" s="7" t="str">
        <f t="shared" si="1"/>
        <v/>
      </c>
      <c r="F6" s="8" t="str">
        <f t="shared" si="2"/>
        <v/>
      </c>
      <c r="G6" s="8" t="str">
        <f t="shared" si="3"/>
        <v/>
      </c>
      <c r="H6" s="9" t="str">
        <f t="shared" si="4"/>
        <v/>
      </c>
      <c r="I6" t="str">
        <f t="shared" si="5"/>
        <v/>
      </c>
      <c r="J6" t="str">
        <f t="shared" si="6"/>
        <v/>
      </c>
    </row>
    <row r="7">
      <c r="A7" s="4" t="s">
        <v>26</v>
      </c>
      <c r="B7" s="5">
        <v>100.0</v>
      </c>
      <c r="C7" s="10">
        <v>135.0</v>
      </c>
      <c r="D7" s="7">
        <v>42861.0</v>
      </c>
      <c r="E7" s="7">
        <f t="shared" si="1"/>
        <v>46938</v>
      </c>
      <c r="F7" s="8">
        <f t="shared" si="2"/>
        <v>13500</v>
      </c>
      <c r="G7" s="8" t="str">
        <f t="shared" si="3"/>
        <v/>
      </c>
      <c r="H7" s="9" t="str">
        <f t="shared" si="4"/>
        <v/>
      </c>
      <c r="I7">
        <f t="shared" si="5"/>
        <v>114</v>
      </c>
      <c r="J7" s="8">
        <f t="shared" si="6"/>
        <v>11400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17" t="s">
        <v>27</v>
      </c>
      <c r="B1" s="17" t="s">
        <v>37</v>
      </c>
      <c r="C1" s="20" t="s">
        <v>38</v>
      </c>
      <c r="D1" s="17" t="s">
        <v>39</v>
      </c>
      <c r="E1" s="17" t="s">
        <v>40</v>
      </c>
      <c r="F1" s="22" t="s">
        <v>41</v>
      </c>
      <c r="G1" s="23" t="s">
        <v>42</v>
      </c>
      <c r="H1" s="25" t="s">
        <v>43</v>
      </c>
      <c r="I1" s="23" t="s">
        <v>44</v>
      </c>
      <c r="J1" s="25" t="s">
        <v>45</v>
      </c>
    </row>
    <row r="2">
      <c r="A2" s="29">
        <f t="shared" ref="A2:A24" si="1">IF(ISDATE($A1),IF($A1+$F1&lt;=EOMONTH(TODAY(),0),$A1+$F1,""),IF($A1&lt;&gt;"",EOMONTH(TODAY(),-1)+1+CHOOSE(WEEKDAY(EOMONTH(TODAY(),-1)+1,2),0,0,0,0,0,2,1),""))</f>
        <v>43466</v>
      </c>
      <c r="B2" s="8">
        <v>517068.65</v>
      </c>
      <c r="C2" s="33" t="str">
        <f t="shared" ref="C2:C24" si="2">IFS(ROW()=2,"EUR",$A2,C1,$A2="","")</f>
        <v>EUR</v>
      </c>
      <c r="D2" s="33">
        <v>0.0125</v>
      </c>
      <c r="E2" s="33">
        <f t="shared" ref="E2:E24" si="3">IFS(ROW()=2,4%,$A2,E1,$A2="","")</f>
        <v>0.04</v>
      </c>
      <c r="F2" s="36">
        <f t="shared" ref="F2:F24" si="4">IF(WEEKDAY($A2,2)&lt;&gt;5,IF($A2,1,""),3)</f>
        <v>1</v>
      </c>
      <c r="G2" s="39">
        <f t="shared" ref="G2:G24" si="5">IF($A2,(-H2*D2-I2*E2)/360*F2,"")</f>
        <v>-18.22916667</v>
      </c>
      <c r="H2" s="8">
        <f>IFS(ROW()=2,Dashboard!$B$45,$A2,H1,$A2="","")</f>
        <v>525000</v>
      </c>
      <c r="I2" s="8" t="str">
        <f t="shared" ref="I2:I24" si="6">IF(AND($H2&lt;&gt;"",$B2-$H2&gt;0),ROUND($B2-$H2,0),"")</f>
        <v/>
      </c>
      <c r="J2" s="39">
        <f t="shared" ref="J2:J24" si="7">IFS(ROW()=2,$G2,$A2,$G2+$J1,$A2="","")</f>
        <v>-18.22916667</v>
      </c>
    </row>
    <row r="3">
      <c r="A3" s="29">
        <f t="shared" si="1"/>
        <v>43467</v>
      </c>
      <c r="B3" s="39">
        <v>505616.26000000007</v>
      </c>
      <c r="C3" s="33" t="str">
        <f t="shared" si="2"/>
        <v>EUR</v>
      </c>
      <c r="D3" s="33">
        <v>0.0125</v>
      </c>
      <c r="E3" s="33">
        <f t="shared" si="3"/>
        <v>0.04</v>
      </c>
      <c r="F3" s="36">
        <f t="shared" si="4"/>
        <v>1</v>
      </c>
      <c r="G3" s="39">
        <f t="shared" si="5"/>
        <v>-18.22916667</v>
      </c>
      <c r="H3" s="8">
        <f>IFS(ROW()=2,Dashboard!$B$45,$A3,H2,$A3="","")</f>
        <v>525000</v>
      </c>
      <c r="I3" s="8" t="str">
        <f t="shared" si="6"/>
        <v/>
      </c>
      <c r="J3" s="39">
        <f t="shared" si="7"/>
        <v>-36.45833333</v>
      </c>
    </row>
    <row r="4">
      <c r="A4" s="29">
        <f t="shared" si="1"/>
        <v>43468</v>
      </c>
      <c r="B4" s="39">
        <v>505616.26000000007</v>
      </c>
      <c r="C4" s="33" t="str">
        <f t="shared" si="2"/>
        <v>EUR</v>
      </c>
      <c r="D4" s="33">
        <v>0.0125</v>
      </c>
      <c r="E4" s="33">
        <f t="shared" si="3"/>
        <v>0.04</v>
      </c>
      <c r="F4" s="36">
        <f t="shared" si="4"/>
        <v>1</v>
      </c>
      <c r="G4" s="39">
        <f t="shared" si="5"/>
        <v>-18.22916667</v>
      </c>
      <c r="H4" s="8">
        <f>IFS(ROW()=2,Dashboard!$B$45,$A4,H3,$A4="","")</f>
        <v>525000</v>
      </c>
      <c r="I4" s="8" t="str">
        <f t="shared" si="6"/>
        <v/>
      </c>
      <c r="J4" s="39">
        <f t="shared" si="7"/>
        <v>-54.6875</v>
      </c>
    </row>
    <row r="5">
      <c r="A5" s="29">
        <f t="shared" si="1"/>
        <v>43469</v>
      </c>
      <c r="B5" s="39">
        <v>507116.2600000001</v>
      </c>
      <c r="C5" s="33" t="str">
        <f t="shared" si="2"/>
        <v>EUR</v>
      </c>
      <c r="D5" s="33">
        <v>0.0125</v>
      </c>
      <c r="E5" s="33">
        <f t="shared" si="3"/>
        <v>0.04</v>
      </c>
      <c r="F5" s="36">
        <f t="shared" si="4"/>
        <v>3</v>
      </c>
      <c r="G5" s="39">
        <f t="shared" si="5"/>
        <v>-54.6875</v>
      </c>
      <c r="H5" s="8">
        <f>IFS(ROW()=2,Dashboard!$B$45,$A5,H4,$A5="","")</f>
        <v>525000</v>
      </c>
      <c r="I5" s="8" t="str">
        <f t="shared" si="6"/>
        <v/>
      </c>
      <c r="J5" s="39">
        <f t="shared" si="7"/>
        <v>-109.375</v>
      </c>
    </row>
    <row r="6">
      <c r="A6" s="29">
        <f t="shared" si="1"/>
        <v>43472</v>
      </c>
      <c r="B6" s="39">
        <v>507116.2600000001</v>
      </c>
      <c r="C6" s="33" t="str">
        <f t="shared" si="2"/>
        <v>EUR</v>
      </c>
      <c r="D6" s="33">
        <v>0.0125</v>
      </c>
      <c r="E6" s="33">
        <f t="shared" si="3"/>
        <v>0.04</v>
      </c>
      <c r="F6" s="36">
        <f t="shared" si="4"/>
        <v>1</v>
      </c>
      <c r="G6" s="39">
        <f t="shared" si="5"/>
        <v>-18.22916667</v>
      </c>
      <c r="H6" s="8">
        <f>IFS(ROW()=2,Dashboard!$B$45,$A6,H5,$A6="","")</f>
        <v>525000</v>
      </c>
      <c r="I6" s="8" t="str">
        <f t="shared" si="6"/>
        <v/>
      </c>
      <c r="J6" s="39">
        <f t="shared" si="7"/>
        <v>-127.6041667</v>
      </c>
    </row>
    <row r="7">
      <c r="A7" s="29">
        <f t="shared" si="1"/>
        <v>43473</v>
      </c>
      <c r="B7" s="39">
        <v>507116.2600000001</v>
      </c>
      <c r="C7" s="33" t="str">
        <f t="shared" si="2"/>
        <v>EUR</v>
      </c>
      <c r="D7" s="33">
        <v>0.0125</v>
      </c>
      <c r="E7" s="33">
        <f t="shared" si="3"/>
        <v>0.04</v>
      </c>
      <c r="F7" s="36">
        <f t="shared" si="4"/>
        <v>1</v>
      </c>
      <c r="G7" s="39">
        <f t="shared" si="5"/>
        <v>-18.22916667</v>
      </c>
      <c r="H7" s="8">
        <f>IFS(ROW()=2,Dashboard!$B$45,$A7,H6,$A7="","")</f>
        <v>525000</v>
      </c>
      <c r="I7" s="8" t="str">
        <f t="shared" si="6"/>
        <v/>
      </c>
      <c r="J7" s="39">
        <f t="shared" si="7"/>
        <v>-145.8333333</v>
      </c>
    </row>
    <row r="8">
      <c r="A8" s="29">
        <f t="shared" si="1"/>
        <v>43474</v>
      </c>
      <c r="B8" s="39">
        <v>507116.2600000001</v>
      </c>
      <c r="C8" s="33" t="str">
        <f t="shared" si="2"/>
        <v>EUR</v>
      </c>
      <c r="D8" s="33">
        <v>0.0125</v>
      </c>
      <c r="E8" s="33">
        <f t="shared" si="3"/>
        <v>0.04</v>
      </c>
      <c r="F8" s="36">
        <f t="shared" si="4"/>
        <v>1</v>
      </c>
      <c r="G8" s="39">
        <f t="shared" si="5"/>
        <v>-18.22916667</v>
      </c>
      <c r="H8" s="8">
        <f>IFS(ROW()=2,Dashboard!$B$45,$A8,H7,$A8="","")</f>
        <v>525000</v>
      </c>
      <c r="I8" s="8" t="str">
        <f t="shared" si="6"/>
        <v/>
      </c>
      <c r="J8" s="39">
        <f t="shared" si="7"/>
        <v>-164.0625</v>
      </c>
    </row>
    <row r="9">
      <c r="A9" s="29">
        <f t="shared" si="1"/>
        <v>43475</v>
      </c>
      <c r="B9" s="39">
        <v>507116.2600000001</v>
      </c>
      <c r="C9" s="33" t="str">
        <f t="shared" si="2"/>
        <v>EUR</v>
      </c>
      <c r="D9" s="33">
        <v>0.0125</v>
      </c>
      <c r="E9" s="33">
        <f t="shared" si="3"/>
        <v>0.04</v>
      </c>
      <c r="F9" s="36">
        <f t="shared" si="4"/>
        <v>1</v>
      </c>
      <c r="G9" s="39">
        <f t="shared" si="5"/>
        <v>-18.22916667</v>
      </c>
      <c r="H9" s="8">
        <f>IFS(ROW()=2,Dashboard!$B$45,$A9,H8,$A9="","")</f>
        <v>525000</v>
      </c>
      <c r="I9" s="8" t="str">
        <f t="shared" si="6"/>
        <v/>
      </c>
      <c r="J9" s="39">
        <f t="shared" si="7"/>
        <v>-182.2916667</v>
      </c>
    </row>
    <row r="10">
      <c r="A10" s="29">
        <f t="shared" si="1"/>
        <v>43476</v>
      </c>
      <c r="B10" s="39">
        <v>507116.2600000001</v>
      </c>
      <c r="C10" s="33" t="str">
        <f t="shared" si="2"/>
        <v>EUR</v>
      </c>
      <c r="D10" s="33">
        <v>0.0125</v>
      </c>
      <c r="E10" s="33">
        <f t="shared" si="3"/>
        <v>0.04</v>
      </c>
      <c r="F10" s="36">
        <f t="shared" si="4"/>
        <v>3</v>
      </c>
      <c r="G10" s="39">
        <f t="shared" si="5"/>
        <v>-54.6875</v>
      </c>
      <c r="H10" s="8">
        <f>IFS(ROW()=2,Dashboard!$B$45,$A10,H9,$A10="","")</f>
        <v>525000</v>
      </c>
      <c r="I10" s="8" t="str">
        <f t="shared" si="6"/>
        <v/>
      </c>
      <c r="J10" s="39">
        <f t="shared" si="7"/>
        <v>-236.9791667</v>
      </c>
    </row>
    <row r="11">
      <c r="A11" s="29">
        <f t="shared" si="1"/>
        <v>43479</v>
      </c>
      <c r="B11" s="39">
        <v>507116.2600000001</v>
      </c>
      <c r="C11" s="33" t="str">
        <f t="shared" si="2"/>
        <v>EUR</v>
      </c>
      <c r="D11" s="33">
        <v>0.0125</v>
      </c>
      <c r="E11" s="33">
        <f t="shared" si="3"/>
        <v>0.04</v>
      </c>
      <c r="F11" s="36">
        <f t="shared" si="4"/>
        <v>1</v>
      </c>
      <c r="G11" s="39">
        <f t="shared" si="5"/>
        <v>-18.22916667</v>
      </c>
      <c r="H11" s="8">
        <f>IFS(ROW()=2,Dashboard!$B$45,$A11,H10,$A11="","")</f>
        <v>525000</v>
      </c>
      <c r="I11" s="8" t="str">
        <f t="shared" si="6"/>
        <v/>
      </c>
      <c r="J11" s="39">
        <f t="shared" si="7"/>
        <v>-255.2083333</v>
      </c>
    </row>
    <row r="12">
      <c r="A12" s="29">
        <f t="shared" si="1"/>
        <v>43480</v>
      </c>
      <c r="B12" s="39">
        <v>507116.2600000001</v>
      </c>
      <c r="C12" s="33" t="str">
        <f t="shared" si="2"/>
        <v>EUR</v>
      </c>
      <c r="D12" s="33">
        <v>0.0125</v>
      </c>
      <c r="E12" s="33">
        <f t="shared" si="3"/>
        <v>0.04</v>
      </c>
      <c r="F12" s="36">
        <f t="shared" si="4"/>
        <v>1</v>
      </c>
      <c r="G12" s="39">
        <f t="shared" si="5"/>
        <v>-18.22916667</v>
      </c>
      <c r="H12" s="8">
        <f>IFS(ROW()=2,Dashboard!$B$45,$A12,H11,$A12="","")</f>
        <v>525000</v>
      </c>
      <c r="I12" s="8" t="str">
        <f t="shared" si="6"/>
        <v/>
      </c>
      <c r="J12" s="39">
        <f t="shared" si="7"/>
        <v>-273.4375</v>
      </c>
    </row>
    <row r="13">
      <c r="A13" s="29">
        <f t="shared" si="1"/>
        <v>43481</v>
      </c>
      <c r="B13" s="39">
        <v>507116.2600000001</v>
      </c>
      <c r="C13" s="33" t="str">
        <f t="shared" si="2"/>
        <v>EUR</v>
      </c>
      <c r="D13" s="33">
        <v>0.0125</v>
      </c>
      <c r="E13" s="33">
        <f t="shared" si="3"/>
        <v>0.04</v>
      </c>
      <c r="F13" s="36">
        <f t="shared" si="4"/>
        <v>1</v>
      </c>
      <c r="G13" s="39">
        <f t="shared" si="5"/>
        <v>-18.22916667</v>
      </c>
      <c r="H13" s="8">
        <f>IFS(ROW()=2,Dashboard!$B$45,$A13,H12,$A13="","")</f>
        <v>525000</v>
      </c>
      <c r="I13" s="8" t="str">
        <f t="shared" si="6"/>
        <v/>
      </c>
      <c r="J13" s="39">
        <f t="shared" si="7"/>
        <v>-291.6666667</v>
      </c>
    </row>
    <row r="14">
      <c r="A14" s="29">
        <f t="shared" si="1"/>
        <v>43482</v>
      </c>
      <c r="B14" s="39">
        <v>507116.2600000001</v>
      </c>
      <c r="C14" s="33" t="str">
        <f t="shared" si="2"/>
        <v>EUR</v>
      </c>
      <c r="D14" s="33">
        <v>0.0125</v>
      </c>
      <c r="E14" s="33">
        <f t="shared" si="3"/>
        <v>0.04</v>
      </c>
      <c r="F14" s="36">
        <f t="shared" si="4"/>
        <v>1</v>
      </c>
      <c r="G14" s="39">
        <f t="shared" si="5"/>
        <v>-18.22916667</v>
      </c>
      <c r="H14" s="8">
        <f>IFS(ROW()=2,Dashboard!$B$45,$A14,H13,$A14="","")</f>
        <v>525000</v>
      </c>
      <c r="I14" s="8" t="str">
        <f t="shared" si="6"/>
        <v/>
      </c>
      <c r="J14" s="39">
        <f t="shared" si="7"/>
        <v>-309.8958333</v>
      </c>
    </row>
    <row r="15">
      <c r="A15" s="29">
        <f t="shared" si="1"/>
        <v>43483</v>
      </c>
      <c r="B15" s="39">
        <v>507116.2600000001</v>
      </c>
      <c r="C15" s="33" t="str">
        <f t="shared" si="2"/>
        <v>EUR</v>
      </c>
      <c r="D15" s="33">
        <v>0.0125</v>
      </c>
      <c r="E15" s="33">
        <f t="shared" si="3"/>
        <v>0.04</v>
      </c>
      <c r="F15" s="36">
        <f t="shared" si="4"/>
        <v>3</v>
      </c>
      <c r="G15" s="39">
        <f t="shared" si="5"/>
        <v>-54.6875</v>
      </c>
      <c r="H15" s="8">
        <f>IFS(ROW()=2,Dashboard!$B$45,$A15,H14,$A15="","")</f>
        <v>525000</v>
      </c>
      <c r="I15" s="8" t="str">
        <f t="shared" si="6"/>
        <v/>
      </c>
      <c r="J15" s="39">
        <f t="shared" si="7"/>
        <v>-364.5833333</v>
      </c>
    </row>
    <row r="16">
      <c r="A16" s="29">
        <f t="shared" si="1"/>
        <v>43486</v>
      </c>
      <c r="B16" s="39">
        <v>507116.2600000001</v>
      </c>
      <c r="C16" s="33" t="str">
        <f t="shared" si="2"/>
        <v>EUR</v>
      </c>
      <c r="D16" s="33">
        <v>0.0125</v>
      </c>
      <c r="E16" s="33">
        <f t="shared" si="3"/>
        <v>0.04</v>
      </c>
      <c r="F16" s="36">
        <f t="shared" si="4"/>
        <v>1</v>
      </c>
      <c r="G16" s="39">
        <f t="shared" si="5"/>
        <v>-18.22916667</v>
      </c>
      <c r="H16" s="8">
        <f>IFS(ROW()=2,Dashboard!$B$45,$A16,H15,$A16="","")</f>
        <v>525000</v>
      </c>
      <c r="I16" s="8" t="str">
        <f t="shared" si="6"/>
        <v/>
      </c>
      <c r="J16" s="39">
        <f t="shared" si="7"/>
        <v>-382.8125</v>
      </c>
    </row>
    <row r="17">
      <c r="A17" s="29">
        <f t="shared" si="1"/>
        <v>43487</v>
      </c>
      <c r="B17" s="39">
        <v>507116.2600000001</v>
      </c>
      <c r="C17" s="33" t="str">
        <f t="shared" si="2"/>
        <v>EUR</v>
      </c>
      <c r="D17" s="33">
        <v>0.0125</v>
      </c>
      <c r="E17" s="33">
        <f t="shared" si="3"/>
        <v>0.04</v>
      </c>
      <c r="F17" s="36">
        <f t="shared" si="4"/>
        <v>1</v>
      </c>
      <c r="G17" s="39">
        <f t="shared" si="5"/>
        <v>-18.22916667</v>
      </c>
      <c r="H17" s="8">
        <f>IFS(ROW()=2,Dashboard!$B$45,$A17,H16,$A17="","")</f>
        <v>525000</v>
      </c>
      <c r="I17" s="8" t="str">
        <f t="shared" si="6"/>
        <v/>
      </c>
      <c r="J17" s="39">
        <f t="shared" si="7"/>
        <v>-401.0416667</v>
      </c>
    </row>
    <row r="18">
      <c r="A18" s="29">
        <f t="shared" si="1"/>
        <v>43488</v>
      </c>
      <c r="B18" s="39">
        <v>507116.2600000001</v>
      </c>
      <c r="C18" s="33" t="str">
        <f t="shared" si="2"/>
        <v>EUR</v>
      </c>
      <c r="D18" s="33">
        <v>0.0125</v>
      </c>
      <c r="E18" s="33">
        <f t="shared" si="3"/>
        <v>0.04</v>
      </c>
      <c r="F18" s="36">
        <f t="shared" si="4"/>
        <v>1</v>
      </c>
      <c r="G18" s="39">
        <f t="shared" si="5"/>
        <v>-18.22916667</v>
      </c>
      <c r="H18" s="8">
        <f>IFS(ROW()=2,Dashboard!$B$45,$A18,H17,$A18="","")</f>
        <v>525000</v>
      </c>
      <c r="I18" s="8" t="str">
        <f t="shared" si="6"/>
        <v/>
      </c>
      <c r="J18" s="39">
        <f t="shared" si="7"/>
        <v>-419.2708333</v>
      </c>
    </row>
    <row r="19">
      <c r="A19" s="29">
        <f t="shared" si="1"/>
        <v>43489</v>
      </c>
      <c r="B19" s="39">
        <v>507116.2600000001</v>
      </c>
      <c r="C19" s="33" t="str">
        <f t="shared" si="2"/>
        <v>EUR</v>
      </c>
      <c r="D19" s="33">
        <v>0.0125</v>
      </c>
      <c r="E19" s="33">
        <f t="shared" si="3"/>
        <v>0.04</v>
      </c>
      <c r="F19" s="36">
        <f t="shared" si="4"/>
        <v>1</v>
      </c>
      <c r="G19" s="39">
        <f t="shared" si="5"/>
        <v>-18.22916667</v>
      </c>
      <c r="H19" s="8">
        <f>IFS(ROW()=2,Dashboard!$B$45,$A19,H18,$A19="","")</f>
        <v>525000</v>
      </c>
      <c r="I19" s="8" t="str">
        <f t="shared" si="6"/>
        <v/>
      </c>
      <c r="J19" s="39">
        <f t="shared" si="7"/>
        <v>-437.5</v>
      </c>
    </row>
    <row r="20">
      <c r="A20" s="29">
        <f t="shared" si="1"/>
        <v>43490</v>
      </c>
      <c r="B20" s="39">
        <v>507116.2600000001</v>
      </c>
      <c r="C20" s="33" t="str">
        <f t="shared" si="2"/>
        <v>EUR</v>
      </c>
      <c r="D20" s="33">
        <v>0.0125</v>
      </c>
      <c r="E20" s="33">
        <f t="shared" si="3"/>
        <v>0.04</v>
      </c>
      <c r="F20" s="36">
        <f t="shared" si="4"/>
        <v>3</v>
      </c>
      <c r="G20" s="39">
        <f t="shared" si="5"/>
        <v>-54.6875</v>
      </c>
      <c r="H20" s="8">
        <f>IFS(ROW()=2,Dashboard!$B$45,$A20,H19,$A20="","")</f>
        <v>525000</v>
      </c>
      <c r="I20" s="8" t="str">
        <f t="shared" si="6"/>
        <v/>
      </c>
      <c r="J20" s="39">
        <f t="shared" si="7"/>
        <v>-492.1875</v>
      </c>
    </row>
    <row r="21">
      <c r="A21" s="29">
        <f t="shared" si="1"/>
        <v>43493</v>
      </c>
      <c r="B21" s="39">
        <v>507116.2600000001</v>
      </c>
      <c r="C21" s="33" t="str">
        <f t="shared" si="2"/>
        <v>EUR</v>
      </c>
      <c r="D21" s="33">
        <v>0.0125</v>
      </c>
      <c r="E21" s="33">
        <f t="shared" si="3"/>
        <v>0.04</v>
      </c>
      <c r="F21" s="36">
        <f t="shared" si="4"/>
        <v>1</v>
      </c>
      <c r="G21" s="39">
        <f t="shared" si="5"/>
        <v>-18.22916667</v>
      </c>
      <c r="H21" s="8">
        <f>IFS(ROW()=2,Dashboard!$B$45,$A21,H20,$A21="","")</f>
        <v>525000</v>
      </c>
      <c r="I21" s="8" t="str">
        <f t="shared" si="6"/>
        <v/>
      </c>
      <c r="J21" s="39">
        <f t="shared" si="7"/>
        <v>-510.4166667</v>
      </c>
    </row>
    <row r="22">
      <c r="A22" s="29">
        <f t="shared" si="1"/>
        <v>43494</v>
      </c>
      <c r="B22" s="39">
        <v>507116.2600000001</v>
      </c>
      <c r="C22" s="33" t="str">
        <f t="shared" si="2"/>
        <v>EUR</v>
      </c>
      <c r="D22" s="33">
        <v>0.0125</v>
      </c>
      <c r="E22" s="33">
        <f t="shared" si="3"/>
        <v>0.04</v>
      </c>
      <c r="F22" s="36">
        <f t="shared" si="4"/>
        <v>1</v>
      </c>
      <c r="G22" s="39">
        <f t="shared" si="5"/>
        <v>-18.22916667</v>
      </c>
      <c r="H22" s="8">
        <f>IFS(ROW()=2,Dashboard!$B$45,$A22,H21,$A22="","")</f>
        <v>525000</v>
      </c>
      <c r="I22" s="8" t="str">
        <f t="shared" si="6"/>
        <v/>
      </c>
      <c r="J22" s="39">
        <f t="shared" si="7"/>
        <v>-528.6458333</v>
      </c>
    </row>
    <row r="23">
      <c r="A23" s="29">
        <f t="shared" si="1"/>
        <v>43495</v>
      </c>
      <c r="B23" s="39">
        <v>507116.2600000001</v>
      </c>
      <c r="C23" s="33" t="str">
        <f t="shared" si="2"/>
        <v>EUR</v>
      </c>
      <c r="D23" s="33">
        <v>0.0125</v>
      </c>
      <c r="E23" s="33">
        <f t="shared" si="3"/>
        <v>0.04</v>
      </c>
      <c r="F23" s="36">
        <f t="shared" si="4"/>
        <v>1</v>
      </c>
      <c r="G23" s="39">
        <f t="shared" si="5"/>
        <v>-18.22916667</v>
      </c>
      <c r="H23" s="8">
        <f>IFS(ROW()=2,Dashboard!$B$45,$A23,H22,$A23="","")</f>
        <v>525000</v>
      </c>
      <c r="I23" s="8" t="str">
        <f t="shared" si="6"/>
        <v/>
      </c>
      <c r="J23" s="39">
        <f t="shared" si="7"/>
        <v>-546.875</v>
      </c>
    </row>
    <row r="24">
      <c r="A24" s="29">
        <f t="shared" si="1"/>
        <v>43496</v>
      </c>
      <c r="B24" s="39">
        <v>507116.2600000001</v>
      </c>
      <c r="C24" s="33" t="str">
        <f t="shared" si="2"/>
        <v>EUR</v>
      </c>
      <c r="D24" s="33">
        <v>0.0125</v>
      </c>
      <c r="E24" s="33">
        <f t="shared" si="3"/>
        <v>0.04</v>
      </c>
      <c r="F24" s="36">
        <f t="shared" si="4"/>
        <v>1</v>
      </c>
      <c r="G24" s="39">
        <f t="shared" si="5"/>
        <v>-18.22916667</v>
      </c>
      <c r="H24" s="8">
        <f>IFS(ROW()=2,Dashboard!$B$45,$A24,H23,$A24="","")</f>
        <v>525000</v>
      </c>
      <c r="I24" s="8" t="str">
        <f t="shared" si="6"/>
        <v/>
      </c>
      <c r="J24" s="39">
        <f t="shared" si="7"/>
        <v>-565.1041667</v>
      </c>
    </row>
  </sheetData>
  <conditionalFormatting sqref="B2:B24 D2:D24">
    <cfRule type="expression" dxfId="0" priority="1">
      <formula>$A2&lt;=TODAY()</formula>
    </cfRule>
  </conditionalFormatting>
  <conditionalFormatting sqref="B2:B24 D2:D24">
    <cfRule type="expression" dxfId="1" priority="2">
      <formula>$A2=""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0.0"/>
    <col customWidth="1" min="7" max="7" width="6.86"/>
    <col customWidth="1" min="8" max="8" width="11.71"/>
    <col customWidth="1" min="9" max="9" width="9.57"/>
    <col customWidth="1" min="10" max="10" width="5.86"/>
    <col customWidth="1" min="11" max="11" width="10.86"/>
    <col customWidth="1" min="12" max="12" width="5.29"/>
    <col customWidth="1" min="13" max="13" width="10.0"/>
    <col customWidth="1" min="14" max="14" width="18.14"/>
    <col customWidth="1" min="15" max="15" width="10.43"/>
    <col customWidth="1" min="16" max="16" width="29.71"/>
    <col customWidth="1" min="17" max="17" width="36.14"/>
    <col customWidth="1" min="18" max="18" width="21.71"/>
    <col customWidth="1" min="19" max="19" width="11.57"/>
    <col customWidth="1" min="20" max="20" width="7.86"/>
    <col customWidth="1" min="21" max="21" width="10.0"/>
    <col customWidth="1" min="22" max="26" width="9.57"/>
    <col customWidth="1" min="27" max="27" width="10.43"/>
    <col customWidth="1" min="28" max="36" width="9.57"/>
  </cols>
  <sheetData>
    <row r="1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2" t="s">
        <v>32</v>
      </c>
      <c r="G1" s="11" t="s">
        <v>33</v>
      </c>
      <c r="H1" s="11" t="s">
        <v>34</v>
      </c>
      <c r="I1" s="11"/>
      <c r="J1" s="11" t="s">
        <v>35</v>
      </c>
      <c r="K1" s="11"/>
      <c r="L1" s="13" t="str">
        <f t="shared" ref="L1:L1119" si="1">IFERROR(__xludf.DUMMYFUNCTION("IFS(V1=""Achat"",IFERROR(VALUE(W1),VALUE(REGEXREPLACE(T(W1),""[^0-9]"",""""))),V1=""Vente"",-IFERROR(VALUE(W1),VALUE(REGEXREPLACE(T(W1),""[^0-9]"",""""))),X1=""Change"",0,X1&lt;&gt;""Change"","""")"),"")</f>
        <v/>
      </c>
      <c r="M1" s="14"/>
      <c r="N1" s="15"/>
      <c r="O1" s="16" t="s">
        <v>27</v>
      </c>
      <c r="P1" s="18" t="s">
        <v>36</v>
      </c>
      <c r="Q1" s="38" t="s">
        <v>11</v>
      </c>
      <c r="R1" s="18" t="s">
        <v>47</v>
      </c>
      <c r="S1" s="18" t="s">
        <v>48</v>
      </c>
      <c r="T1" s="40" t="s">
        <v>49</v>
      </c>
      <c r="U1" s="41" t="s">
        <v>50</v>
      </c>
      <c r="V1" s="42"/>
      <c r="W1" s="43"/>
      <c r="X1" s="43"/>
      <c r="Y1" s="42"/>
      <c r="Z1" s="43"/>
      <c r="AA1" s="42"/>
      <c r="AB1" s="44"/>
      <c r="AC1" s="44"/>
      <c r="AD1" s="44"/>
      <c r="AE1" s="44"/>
      <c r="AF1" s="44"/>
      <c r="AG1" s="44"/>
      <c r="AH1" s="44"/>
      <c r="AI1" s="44"/>
      <c r="AJ1" s="44"/>
    </row>
    <row r="2">
      <c r="A2" s="11" t="s">
        <v>51</v>
      </c>
      <c r="B2" s="11" t="s">
        <v>52</v>
      </c>
      <c r="C2" s="11" t="s">
        <v>51</v>
      </c>
      <c r="D2" s="11"/>
      <c r="E2" s="11"/>
      <c r="F2" s="12" t="s">
        <v>53</v>
      </c>
      <c r="G2" s="11"/>
      <c r="H2" s="11" t="s">
        <v>54</v>
      </c>
      <c r="I2" s="11" t="s">
        <v>55</v>
      </c>
      <c r="J2" s="11" t="s">
        <v>54</v>
      </c>
      <c r="K2" s="11" t="s">
        <v>56</v>
      </c>
      <c r="L2" s="45" t="str">
        <f t="shared" si="1"/>
        <v/>
      </c>
      <c r="M2" s="46">
        <f>IFERROR(__xludf.DUMMYFUNCTION("IF(Account!$F2&lt;&gt;"""", VALUE(REGEXREPLACE($I2, ""\,"", ""."")), """")"),-1500.0)</f>
        <v>-1500</v>
      </c>
      <c r="N2" s="47">
        <f>IF(Account!$F2&lt;&gt;"", DATEVALUE(MID($A2,4,3) &amp; LEFT($A2,3) &amp; RIGHT($A2,4)) + TIMEVALUE($B2), "")</f>
        <v>43469.64653</v>
      </c>
      <c r="O2" s="48">
        <f>IF(Account!$F2&lt;&gt;"", DATEVALUE(MID($A2,4,3) &amp; LEFT($A2,3) &amp; RIGHT($A2,4)), "")</f>
        <v>43469</v>
      </c>
      <c r="P2" s="49" t="str">
        <f>IFERROR(VLOOKUP($Q2,Selection!$F:$G,2,false))</f>
        <v/>
      </c>
      <c r="Q2" s="50" t="str">
        <f>IF(AND($X2="change",$H2="EUR"),IF(AND($Z2="Crédit",$N2=$N3),$Q3,IF(AND($Z2="Débit",$N2=$N1),$Q1)),IF(OR(AND(OR($E2&lt;&gt;"",$L2=""),$M2&lt;&gt;0),$A2=""),IFERROR(VLOOKUP($E2,Selection!$E:$F,2,false)),IFERROR(VLOOKUP(SUBSTITUTE($I2,"-","",1),$K3:$Q1119,7,false),VLOOKUP($K2,$K3:$Q1119,7,false))))</f>
        <v/>
      </c>
      <c r="R2" s="49" t="str">
        <f t="shared" ref="R2:R1119" si="2">IFS(O2="","",OR(V2="Versement",V2="Retrait"),"APPROVISIONNEMENT",OR(V2="Frais",X2="Argent",V2="Distribution",V2="Conversion",Q2="",AND(L2=0,ABS(M2)&lt;10)),"COST",S2="","DIVIDEND",S2&gt;0,"BUY",S2&lt;0,"SELL")</f>
        <v>APPROVISIONNEMENT</v>
      </c>
      <c r="S2" s="51" t="str">
        <f t="shared" ref="S2:S1119" si="3">IF(AND(OR($V2="Achat",$V2="Vente", $X2="change"),E2&lt;&gt;""),IF(SUMIFS(L:L,N:N,N2,Q:Q,Q2)&lt;&gt;0,SUMIFS(L:L,N:N,N2,Q:Q,Q2),""),"")</f>
        <v/>
      </c>
      <c r="T2" s="52" t="str">
        <f t="shared" ref="T2:T1119" si="4">IF(AND(S2&lt;&gt;0,S2&lt;&gt;""),-U2/S2,"")</f>
        <v/>
      </c>
      <c r="U2" s="46">
        <f t="shared" ref="U2:U1119" si="5"> IF($F2&lt;&gt;"",IF(Q2&lt;&gt;"",SUMIFS(M:M,N:N,N2,R:R,R2,Q:Q,Q2),SUMIFS(M:M,N:N,N2,R:R,R2,Q:Q,"=")),"")</f>
        <v>-1500</v>
      </c>
      <c r="V2" s="53" t="str">
        <f>IFERROR(__xludf.DUMMYFUNCTION(" IF(Account!$F2&lt;&gt;"""", SPLIT(Account!$F2, "" ""), """")"),"Retrait")</f>
        <v>Retrait</v>
      </c>
      <c r="W2" s="54" t="str">
        <f>IFERROR(__xludf.DUMMYFUNCTION("""COMPUTED_VALUE"""),"de")</f>
        <v>de</v>
      </c>
      <c r="X2" s="55" t="str">
        <f>IFERROR(__xludf.DUMMYFUNCTION("""COMPUTED_VALUE"""),"fonds")</f>
        <v>fonds</v>
      </c>
      <c r="Y2" s="55" t="str">
        <f>IFERROR(__xludf.DUMMYFUNCTION("""COMPUTED_VALUE"""),"en")</f>
        <v>en</v>
      </c>
      <c r="Z2" s="55" t="str">
        <f>IFERROR(__xludf.DUMMYFUNCTION("""COMPUTED_VALUE"""),"cours")</f>
        <v>cours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</row>
    <row r="3">
      <c r="A3" s="11" t="s">
        <v>57</v>
      </c>
      <c r="B3" s="11" t="s">
        <v>58</v>
      </c>
      <c r="C3" s="11" t="s">
        <v>57</v>
      </c>
      <c r="D3" s="11" t="s">
        <v>59</v>
      </c>
      <c r="E3" s="11" t="s">
        <v>60</v>
      </c>
      <c r="F3" s="12" t="s">
        <v>61</v>
      </c>
      <c r="G3" s="11"/>
      <c r="H3" s="11" t="s">
        <v>54</v>
      </c>
      <c r="I3" s="11" t="s">
        <v>62</v>
      </c>
      <c r="J3" s="11" t="s">
        <v>54</v>
      </c>
      <c r="K3" s="11" t="s">
        <v>63</v>
      </c>
      <c r="L3" s="45">
        <f t="shared" si="1"/>
        <v>74</v>
      </c>
      <c r="M3" s="46">
        <f>IFERROR(__xludf.DUMMYFUNCTION("IF(Account!$F3&lt;&gt;"""", VALUE(REGEXREPLACE($I3, ""\,"", ""."")), """")"),-3045.1)</f>
        <v>-3045.1</v>
      </c>
      <c r="N3" s="47">
        <f>IF(Account!$F3&lt;&gt;"", DATEVALUE(MID($A3,4,3) &amp; LEFT($A3,3) &amp; RIGHT($A3,4)) + TIMEVALUE($B3), "")</f>
        <v>43467.63056</v>
      </c>
      <c r="O3" s="48">
        <f>IF(Account!$F3&lt;&gt;"", DATEVALUE(MID($A3,4,3) &amp; LEFT($A3,3) &amp; RIGHT($A3,4)), "")</f>
        <v>43467</v>
      </c>
      <c r="P3" s="49" t="str">
        <f>IFERROR(VLOOKUP($Q3,Selection!$F:$G,2,false))</f>
        <v>Stocks</v>
      </c>
      <c r="Q3" s="50" t="str">
        <f>IF(AND($X3="change",$H3="EUR"),IF(AND($Z3="Crédit",$N3=$N4),$Q4,IF(AND($Z3="Débit",$N3=$N2),$Q2)),IF(OR(AND(OR($E3&lt;&gt;"",$L3=""),$M3&lt;&gt;0),$A3=""),IFERROR(VLOOKUP($E3,Selection!$E:$F,2,false)),IFERROR(VLOOKUP(SUBSTITUTE($I3,"-","",1),$K4:$Q1119,7,false),VLOOKUP($K3,$K4:$Q1119,7,false))))</f>
        <v>Vanguard S&amp;P 500 UCITS ETF</v>
      </c>
      <c r="R3" s="49" t="str">
        <f t="shared" si="2"/>
        <v>BUY</v>
      </c>
      <c r="S3" s="51">
        <f t="shared" si="3"/>
        <v>74</v>
      </c>
      <c r="T3" s="52">
        <f t="shared" si="4"/>
        <v>41.15</v>
      </c>
      <c r="U3" s="46">
        <f t="shared" si="5"/>
        <v>-3045.1</v>
      </c>
      <c r="V3" s="53" t="str">
        <f>IFERROR(__xludf.DUMMYFUNCTION(" IF(Account!$F3&lt;&gt;"""", SPLIT(Account!$F3, "" ""), """")"),"Achat")</f>
        <v>Achat</v>
      </c>
      <c r="W3" s="54">
        <f>IFERROR(__xludf.DUMMYFUNCTION("""COMPUTED_VALUE"""),74.0)</f>
        <v>74</v>
      </c>
      <c r="X3" s="55" t="str">
        <f>IFERROR(__xludf.DUMMYFUNCTION("""COMPUTED_VALUE"""),"VANGUARD")</f>
        <v>VANGUARD</v>
      </c>
      <c r="Y3" s="55" t="str">
        <f>IFERROR(__xludf.DUMMYFUNCTION("""COMPUTED_VALUE"""),"S&amp;P500@41,15")</f>
        <v>S&amp;P500@41,15</v>
      </c>
      <c r="Z3" s="55" t="str">
        <f>IFERROR(__xludf.DUMMYFUNCTION("""COMPUTED_VALUE"""),"EUR")</f>
        <v>EUR</v>
      </c>
      <c r="AA3" s="55" t="str">
        <f>IFERROR(__xludf.DUMMYFUNCTION("""COMPUTED_VALUE"""),"(IE00B3XXRP09)")</f>
        <v>(IE00B3XXRP09)</v>
      </c>
      <c r="AB3" s="55"/>
      <c r="AC3" s="55"/>
      <c r="AD3" s="55"/>
      <c r="AE3" s="55"/>
      <c r="AF3" s="55"/>
      <c r="AG3" s="55"/>
      <c r="AH3" s="55"/>
      <c r="AI3" s="55"/>
      <c r="AJ3" s="55"/>
    </row>
    <row r="4">
      <c r="A4" s="11" t="s">
        <v>57</v>
      </c>
      <c r="B4" s="11" t="s">
        <v>64</v>
      </c>
      <c r="C4" s="11" t="s">
        <v>57</v>
      </c>
      <c r="D4" s="11" t="s">
        <v>65</v>
      </c>
      <c r="E4" s="11" t="s">
        <v>66</v>
      </c>
      <c r="F4" s="12" t="s">
        <v>67</v>
      </c>
      <c r="G4" s="11"/>
      <c r="H4" s="11" t="s">
        <v>54</v>
      </c>
      <c r="I4" s="11" t="s">
        <v>68</v>
      </c>
      <c r="J4" s="11" t="s">
        <v>54</v>
      </c>
      <c r="K4" s="11" t="s">
        <v>69</v>
      </c>
      <c r="L4" s="45">
        <f t="shared" si="1"/>
        <v>300</v>
      </c>
      <c r="M4" s="46">
        <f>IFERROR(__xludf.DUMMYFUNCTION("IF(Account!$F4&lt;&gt;"""", VALUE(REGEXREPLACE($I4, ""\,"", ""."")), """")"),-2046.0)</f>
        <v>-2046</v>
      </c>
      <c r="N4" s="47">
        <f>IF(Account!$F4&lt;&gt;"", DATEVALUE(MID($A4,4,3) &amp; LEFT($A4,3) &amp; RIGHT($A4,4)) + TIMEVALUE($B4), "")</f>
        <v>43467.61667</v>
      </c>
      <c r="O4" s="48">
        <f>IF(Account!$F4&lt;&gt;"", DATEVALUE(MID($A4,4,3) &amp; LEFT($A4,3) &amp; RIGHT($A4,4)), "")</f>
        <v>43467</v>
      </c>
      <c r="P4" s="49" t="str">
        <f>IFERROR(VLOOKUP($Q4,Selection!$F:$G,2,false))</f>
        <v>Commodities</v>
      </c>
      <c r="Q4" s="50" t="str">
        <f>IF(AND($X4="change",$H4="EUR"),IF(AND($Z4="Crédit",$N4=$N5),$Q5,IF(AND($Z4="Débit",$N4=$N3),$Q3)),IF(OR(AND(OR($E4&lt;&gt;"",$L4=""),$M4&lt;&gt;0),$A4=""),IFERROR(VLOOKUP($E4,Selection!$E:$F,2,false)),IFERROR(VLOOKUP(SUBSTITUTE($I4,"-","",1),$K5:$Q1119,7,false),VLOOKUP($K4,$K5:$Q1119,7,false))))</f>
        <v>ETFS All Commodities</v>
      </c>
      <c r="R4" s="49" t="str">
        <f t="shared" si="2"/>
        <v>BUY</v>
      </c>
      <c r="S4" s="51">
        <f t="shared" si="3"/>
        <v>300</v>
      </c>
      <c r="T4" s="52">
        <f t="shared" si="4"/>
        <v>6.82</v>
      </c>
      <c r="U4" s="46">
        <f t="shared" si="5"/>
        <v>-2046</v>
      </c>
      <c r="V4" s="53" t="str">
        <f>IFERROR(__xludf.DUMMYFUNCTION(" IF(Account!$F4&lt;&gt;"""", SPLIT(Account!$F4, "" ""), """")"),"Achat")</f>
        <v>Achat</v>
      </c>
      <c r="W4" s="56">
        <f>IFERROR(__xludf.DUMMYFUNCTION("""COMPUTED_VALUE"""),300.0)</f>
        <v>300</v>
      </c>
      <c r="X4" s="56" t="str">
        <f>IFERROR(__xludf.DUMMYFUNCTION("""COMPUTED_VALUE"""),"ETFS")</f>
        <v>ETFS</v>
      </c>
      <c r="Y4" s="56" t="str">
        <f>IFERROR(__xludf.DUMMYFUNCTION("""COMPUTED_VALUE"""),"ALL")</f>
        <v>ALL</v>
      </c>
      <c r="Z4" s="56" t="str">
        <f>IFERROR(__xludf.DUMMYFUNCTION("""COMPUTED_VALUE"""),"COMMODIT.@6,82")</f>
        <v>COMMODIT.@6,82</v>
      </c>
      <c r="AA4" s="56" t="str">
        <f>IFERROR(__xludf.DUMMYFUNCTION("""COMPUTED_VALUE"""),"EUR")</f>
        <v>EUR</v>
      </c>
      <c r="AB4" s="56" t="str">
        <f>IFERROR(__xludf.DUMMYFUNCTION("""COMPUTED_VALUE"""),"(GB00B15KY989)")</f>
        <v>(GB00B15KY989)</v>
      </c>
      <c r="AC4" s="56"/>
      <c r="AD4" s="56"/>
      <c r="AE4" s="56"/>
      <c r="AF4" s="56"/>
      <c r="AG4" s="56"/>
      <c r="AH4" s="56"/>
      <c r="AI4" s="56"/>
      <c r="AJ4" s="56"/>
    </row>
    <row r="5">
      <c r="A5" s="11" t="s">
        <v>57</v>
      </c>
      <c r="B5" s="11" t="s">
        <v>70</v>
      </c>
      <c r="C5" s="11" t="s">
        <v>71</v>
      </c>
      <c r="D5" s="11"/>
      <c r="E5" s="11"/>
      <c r="F5" s="12" t="s">
        <v>72</v>
      </c>
      <c r="G5" s="11"/>
      <c r="H5" s="11" t="s">
        <v>54</v>
      </c>
      <c r="I5" s="11" t="s">
        <v>73</v>
      </c>
      <c r="J5" s="11" t="s">
        <v>54</v>
      </c>
      <c r="K5" s="11" t="s">
        <v>74</v>
      </c>
      <c r="L5" s="45" t="str">
        <f t="shared" si="1"/>
        <v/>
      </c>
      <c r="M5" s="46">
        <f>IFERROR(__xludf.DUMMYFUNCTION("IF(Account!$F5&lt;&gt;"""", VALUE(REGEXREPLACE($I5, ""\,"", ""."")), """")"),-534.69)</f>
        <v>-534.69</v>
      </c>
      <c r="N5" s="47">
        <f>IF(Account!$F5&lt;&gt;"", DATEVALUE(MID($A5,4,3) &amp; LEFT($A5,3) &amp; RIGHT($A5,4)) + TIMEVALUE($B5), "")</f>
        <v>43467.59722</v>
      </c>
      <c r="O5" s="48">
        <f>IF(Account!$F5&lt;&gt;"", DATEVALUE(MID($A5,4,3) &amp; LEFT($A5,3) &amp; RIGHT($A5,4)), "")</f>
        <v>43467</v>
      </c>
      <c r="P5" s="49" t="str">
        <f>IFERROR(VLOOKUP($Q5,Selection!$F:$G,2,false))</f>
        <v/>
      </c>
      <c r="Q5" s="50" t="str">
        <f>IF(AND($X5="change",$H5="EUR"),IF(AND($Z5="Crédit",$N5=$N6),$Q6,IF(AND($Z5="Débit",$N5=$N4),$Q4)),IF(OR(AND(OR($E5&lt;&gt;"",$L5=""),$M5&lt;&gt;0),$A5=""),IFERROR(VLOOKUP($E5,Selection!$E:$F,2,false)),IFERROR(VLOOKUP(SUBSTITUTE($I5,"-","",1),$K6:$Q1119,7,false),VLOOKUP($K5,$K6:$Q1119,7,false))))</f>
        <v/>
      </c>
      <c r="R5" s="49" t="str">
        <f t="shared" si="2"/>
        <v>COST</v>
      </c>
      <c r="S5" s="51" t="str">
        <f t="shared" si="3"/>
        <v/>
      </c>
      <c r="T5" s="52" t="str">
        <f t="shared" si="4"/>
        <v/>
      </c>
      <c r="U5" s="46">
        <f t="shared" si="5"/>
        <v>-534.69</v>
      </c>
      <c r="V5" s="53" t="str">
        <f>IFERROR(__xludf.DUMMYFUNCTION(" IF(Account!$F5&lt;&gt;"""", SPLIT(Account!$F5, "" ""), """")"),"Intérêts")</f>
        <v>Intérêts</v>
      </c>
      <c r="W5" s="56" t="str">
        <f>IFERROR(__xludf.DUMMYFUNCTION("""COMPUTED_VALUE"""),"débiteurs")</f>
        <v>débiteurs</v>
      </c>
      <c r="X5" s="56" t="str">
        <f>IFERROR(__xludf.DUMMYFUNCTION("""COMPUTED_VALUE"""),"mensuels")</f>
        <v>mensuels</v>
      </c>
      <c r="Y5" s="56" t="str">
        <f>IFERROR(__xludf.DUMMYFUNCTION("""COMPUTED_VALUE"""),"(Débit")</f>
        <v>(Débit</v>
      </c>
      <c r="Z5" s="56" t="str">
        <f>IFERROR(__xludf.DUMMYFUNCTION("""COMPUTED_VALUE"""),"Argent)")</f>
        <v>Argent)</v>
      </c>
      <c r="AA5" s="56"/>
      <c r="AB5" s="56"/>
      <c r="AC5" s="56"/>
      <c r="AD5" s="56"/>
      <c r="AE5" s="56"/>
      <c r="AF5" s="56"/>
      <c r="AG5" s="56"/>
      <c r="AH5" s="56"/>
      <c r="AI5" s="56"/>
      <c r="AJ5" s="56"/>
    </row>
    <row r="6">
      <c r="A6" s="11" t="s">
        <v>71</v>
      </c>
      <c r="B6" s="11" t="s">
        <v>75</v>
      </c>
      <c r="C6" s="11" t="s">
        <v>76</v>
      </c>
      <c r="D6" s="11"/>
      <c r="E6" s="11"/>
      <c r="F6" s="12" t="s">
        <v>77</v>
      </c>
      <c r="G6" s="11"/>
      <c r="H6" s="11" t="s">
        <v>54</v>
      </c>
      <c r="I6" s="11" t="s">
        <v>78</v>
      </c>
      <c r="J6" s="11" t="s">
        <v>54</v>
      </c>
      <c r="K6" s="11" t="s">
        <v>79</v>
      </c>
      <c r="L6" s="45">
        <f t="shared" si="1"/>
        <v>0</v>
      </c>
      <c r="M6" s="46">
        <f>IFERROR(__xludf.DUMMYFUNCTION("IF(Account!$F6&lt;&gt;"""", VALUE(REGEXREPLACE($I6, ""\,"", ""."")), """")"),4248.65)</f>
        <v>4248.65</v>
      </c>
      <c r="N6" s="47">
        <f>IF(Account!$F6&lt;&gt;"", DATEVALUE(MID($A6,4,3) &amp; LEFT($A6,3) &amp; RIGHT($A6,4)) + TIMEVALUE($B6), "")</f>
        <v>43465.27569</v>
      </c>
      <c r="O6" s="48">
        <f>IF(Account!$F6&lt;&gt;"", DATEVALUE(MID($A6,4,3) &amp; LEFT($A6,3) &amp; RIGHT($A6,4)), "")</f>
        <v>43465</v>
      </c>
      <c r="P6" s="49" t="str">
        <f>IFERROR(VLOOKUP($Q6,Selection!$F:$G,2,false))</f>
        <v>Long term US bonds (20-25 year)</v>
      </c>
      <c r="Q6" s="50" t="str">
        <f>IF(AND($X6="change",$H6="EUR"),IF(AND($Z6="Crédit",$N6=$N7),$Q7,IF(AND($Z6="Débit",$N6=$N5),$Q5)),IF(OR(AND(OR($E6&lt;&gt;"",$L6=""),$M6&lt;&gt;0),$A6=""),IFERROR(VLOOKUP($E6,Selection!$E:$F,2,false)),IFERROR(VLOOKUP(SUBSTITUTE($I6,"-","",1),$K7:$Q1119,7,false),VLOOKUP($K6,$K7:$Q1119,7,false))))</f>
        <v>iShares USD Treasury Bond 20+yr UCITS ETF</v>
      </c>
      <c r="R6" s="49" t="str">
        <f t="shared" si="2"/>
        <v>DIVIDEND</v>
      </c>
      <c r="S6" s="51" t="str">
        <f t="shared" si="3"/>
        <v/>
      </c>
      <c r="T6" s="52" t="str">
        <f t="shared" si="4"/>
        <v/>
      </c>
      <c r="U6" s="46">
        <f t="shared" si="5"/>
        <v>-618.49</v>
      </c>
      <c r="V6" s="53" t="str">
        <f>IFERROR(__xludf.DUMMYFUNCTION(" IF(Account!$F6&lt;&gt;"""", SPLIT(Account!$F6, "" ""), """")"),"Operation")</f>
        <v>Operation</v>
      </c>
      <c r="W6" s="56" t="str">
        <f>IFERROR(__xludf.DUMMYFUNCTION("""COMPUTED_VALUE"""),"de")</f>
        <v>de</v>
      </c>
      <c r="X6" s="56" t="str">
        <f>IFERROR(__xludf.DUMMYFUNCTION("""COMPUTED_VALUE"""),"change")</f>
        <v>change</v>
      </c>
      <c r="Y6" s="56" t="str">
        <f>IFERROR(__xludf.DUMMYFUNCTION("""COMPUTED_VALUE"""),"-")</f>
        <v>-</v>
      </c>
      <c r="Z6" s="56" t="str">
        <f>IFERROR(__xludf.DUMMYFUNCTION("""COMPUTED_VALUE"""),"Crédit")</f>
        <v>Crédit</v>
      </c>
      <c r="AA6" s="56"/>
      <c r="AB6" s="56"/>
      <c r="AC6" s="56"/>
      <c r="AD6" s="56"/>
      <c r="AE6" s="56"/>
      <c r="AF6" s="56"/>
      <c r="AG6" s="56"/>
      <c r="AH6" s="56"/>
      <c r="AI6" s="56"/>
      <c r="AJ6" s="56"/>
    </row>
    <row r="7">
      <c r="A7" s="11" t="s">
        <v>71</v>
      </c>
      <c r="B7" s="11" t="s">
        <v>75</v>
      </c>
      <c r="C7" s="11" t="s">
        <v>76</v>
      </c>
      <c r="D7" s="11"/>
      <c r="E7" s="11"/>
      <c r="F7" s="12" t="s">
        <v>80</v>
      </c>
      <c r="G7" s="11" t="s">
        <v>81</v>
      </c>
      <c r="H7" s="11" t="s">
        <v>82</v>
      </c>
      <c r="I7" s="11" t="s">
        <v>83</v>
      </c>
      <c r="J7" s="11" t="s">
        <v>82</v>
      </c>
      <c r="K7" s="11" t="s">
        <v>84</v>
      </c>
      <c r="L7" s="45">
        <f t="shared" si="1"/>
        <v>0</v>
      </c>
      <c r="M7" s="46">
        <f>IFERROR(__xludf.DUMMYFUNCTION("IF(Account!$F7&lt;&gt;"""", VALUE(REGEXREPLACE($I7, ""\,"", ""."")), """")"),-4867.14)</f>
        <v>-4867.14</v>
      </c>
      <c r="N7" s="47">
        <f>IF(Account!$F7&lt;&gt;"", DATEVALUE(MID($A7,4,3) &amp; LEFT($A7,3) &amp; RIGHT($A7,4)) + TIMEVALUE($B7), "")</f>
        <v>43465.27569</v>
      </c>
      <c r="O7" s="48">
        <f>IF(Account!$F7&lt;&gt;"", DATEVALUE(MID($A7,4,3) &amp; LEFT($A7,3) &amp; RIGHT($A7,4)), "")</f>
        <v>43465</v>
      </c>
      <c r="P7" s="49" t="str">
        <f>IFERROR(VLOOKUP($Q7,Selection!$F:$G,2,false))</f>
        <v>Long term US bonds (20-25 year)</v>
      </c>
      <c r="Q7" s="50" t="str">
        <f>IF(AND($X7="change",$H7="EUR"),IF(AND($Z7="Crédit",$N7=$N8),$Q8,IF(AND($Z7="Débit",$N7=$N6),$Q6)),IF(OR(AND(OR($E7&lt;&gt;"",$L7=""),$M7&lt;&gt;0),$A7=""),IFERROR(VLOOKUP($E7,Selection!$E:$F,2,false)),IFERROR(VLOOKUP(SUBSTITUTE($I7,"-","",1),$K8:$Q1119,7,false),VLOOKUP($K7,$K8:$Q1119,7,false))))</f>
        <v>iShares USD Treasury Bond 20+yr UCITS ETF</v>
      </c>
      <c r="R7" s="49" t="str">
        <f t="shared" si="2"/>
        <v>DIVIDEND</v>
      </c>
      <c r="S7" s="51" t="str">
        <f t="shared" si="3"/>
        <v/>
      </c>
      <c r="T7" s="52" t="str">
        <f t="shared" si="4"/>
        <v/>
      </c>
      <c r="U7" s="46">
        <f t="shared" si="5"/>
        <v>-618.49</v>
      </c>
      <c r="V7" s="53" t="str">
        <f>IFERROR(__xludf.DUMMYFUNCTION(" IF(Account!$F7&lt;&gt;"""", SPLIT(Account!$F7, "" ""), """")"),"Opération")</f>
        <v>Opération</v>
      </c>
      <c r="W7" s="56" t="str">
        <f>IFERROR(__xludf.DUMMYFUNCTION("""COMPUTED_VALUE"""),"de")</f>
        <v>de</v>
      </c>
      <c r="X7" s="56" t="str">
        <f>IFERROR(__xludf.DUMMYFUNCTION("""COMPUTED_VALUE"""),"change")</f>
        <v>change</v>
      </c>
      <c r="Y7" s="56" t="str">
        <f>IFERROR(__xludf.DUMMYFUNCTION("""COMPUTED_VALUE"""),"-")</f>
        <v>-</v>
      </c>
      <c r="Z7" s="56" t="str">
        <f>IFERROR(__xludf.DUMMYFUNCTION("""COMPUTED_VALUE"""),"Débit")</f>
        <v>Débit</v>
      </c>
      <c r="AA7" s="56"/>
      <c r="AB7" s="56"/>
      <c r="AC7" s="56"/>
      <c r="AD7" s="56"/>
      <c r="AE7" s="56"/>
      <c r="AF7" s="56"/>
      <c r="AG7" s="56"/>
      <c r="AH7" s="56"/>
      <c r="AI7" s="56"/>
      <c r="AJ7" s="56"/>
    </row>
    <row r="8">
      <c r="A8" s="11" t="s">
        <v>86</v>
      </c>
      <c r="B8" s="11" t="s">
        <v>87</v>
      </c>
      <c r="C8" s="11" t="s">
        <v>76</v>
      </c>
      <c r="D8" s="11" t="s">
        <v>88</v>
      </c>
      <c r="E8" s="11" t="s">
        <v>89</v>
      </c>
      <c r="F8" s="12" t="s">
        <v>90</v>
      </c>
      <c r="G8" s="11"/>
      <c r="H8" s="11" t="s">
        <v>82</v>
      </c>
      <c r="I8" s="11" t="s">
        <v>91</v>
      </c>
      <c r="J8" s="11" t="s">
        <v>82</v>
      </c>
      <c r="K8" s="11" t="s">
        <v>92</v>
      </c>
      <c r="L8" s="45" t="str">
        <f t="shared" si="1"/>
        <v/>
      </c>
      <c r="M8" s="46">
        <f>IFERROR(__xludf.DUMMYFUNCTION("IF(Account!$F8&lt;&gt;"""", VALUE(REGEXREPLACE($I8, ""\,"", ""."")), """")"),4867.15)</f>
        <v>4867.15</v>
      </c>
      <c r="N8" s="47">
        <f>IF(Account!$F8&lt;&gt;"", DATEVALUE(MID($A8,4,3) &amp; LEFT($A8,3) &amp; RIGHT($A8,4)) + TIMEVALUE($B8), "")</f>
        <v>43464.5</v>
      </c>
      <c r="O8" s="48">
        <f>IF(Account!$F8&lt;&gt;"", DATEVALUE(MID($A8,4,3) &amp; LEFT($A8,3) &amp; RIGHT($A8,4)), "")</f>
        <v>43464</v>
      </c>
      <c r="P8" s="49" t="str">
        <f>IFERROR(VLOOKUP($Q8,Selection!$F:$G,2,false))</f>
        <v>Long term US bonds (20-25 year)</v>
      </c>
      <c r="Q8" s="50" t="str">
        <f>IF(AND($X8="change",$H8="EUR"),IF(AND($Z8="Crédit",$N8=$N9),$Q9,IF(AND($Z8="Débit",$N8=$N7),$Q7)),IF(OR(AND(OR($E8&lt;&gt;"",$L8=""),$M8&lt;&gt;0),$A8=""),IFERROR(VLOOKUP($E8,Selection!$E:$F,2,false)),IFERROR(VLOOKUP(SUBSTITUTE($I8,"-","",1),$K9:$Q1119,7,false),VLOOKUP($K8,$K9:$Q1119,7,false))))</f>
        <v>iShares USD Treasury Bond 20+yr UCITS ETF</v>
      </c>
      <c r="R8" s="49" t="str">
        <f t="shared" si="2"/>
        <v>DIVIDEND</v>
      </c>
      <c r="S8" s="51" t="str">
        <f t="shared" si="3"/>
        <v/>
      </c>
      <c r="T8" s="52" t="str">
        <f t="shared" si="4"/>
        <v/>
      </c>
      <c r="U8" s="46">
        <f t="shared" si="5"/>
        <v>4867.15</v>
      </c>
      <c r="V8" s="53" t="str">
        <f>IFERROR(__xludf.DUMMYFUNCTION(" IF(Account!$F8&lt;&gt;"""", SPLIT(Account!$F8, "" ""), """")"),"Dividende")</f>
        <v>Dividende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</row>
    <row r="9">
      <c r="A9" s="11" t="s">
        <v>93</v>
      </c>
      <c r="B9" s="11" t="s">
        <v>94</v>
      </c>
      <c r="C9" s="11" t="s">
        <v>93</v>
      </c>
      <c r="D9" s="11" t="s">
        <v>95</v>
      </c>
      <c r="E9" s="11" t="s">
        <v>96</v>
      </c>
      <c r="F9" s="12" t="s">
        <v>97</v>
      </c>
      <c r="G9" s="11"/>
      <c r="H9" s="11" t="s">
        <v>54</v>
      </c>
      <c r="I9" s="11" t="s">
        <v>98</v>
      </c>
      <c r="J9" s="11" t="s">
        <v>54</v>
      </c>
      <c r="K9" s="11" t="s">
        <v>99</v>
      </c>
      <c r="L9" s="45">
        <f t="shared" si="1"/>
        <v>-5</v>
      </c>
      <c r="M9" s="46">
        <f>IFERROR(__xludf.DUMMYFUNCTION("IF(Account!$F9&lt;&gt;"""", VALUE(REGEXREPLACE($I9, ""\,"", ""."")), """")"),834.9)</f>
        <v>834.9</v>
      </c>
      <c r="N9" s="47">
        <f>IF(Account!$F9&lt;&gt;"", DATEVALUE(MID($A9,4,3) &amp; LEFT($A9,3) &amp; RIGHT($A9,4)) + TIMEVALUE($B9), "")</f>
        <v>43461.70278</v>
      </c>
      <c r="O9" s="48">
        <f>IF(Account!$F9&lt;&gt;"", DATEVALUE(MID($A9,4,3) &amp; LEFT($A9,3) &amp; RIGHT($A9,4)), "")</f>
        <v>43461</v>
      </c>
      <c r="P9" s="49" t="str">
        <f>IFERROR(VLOOKUP($Q9,Selection!$F:$G,2,false))</f>
        <v>Intermediate US bonds (7-10 year)</v>
      </c>
      <c r="Q9" s="50" t="str">
        <f>IF(AND($X9="change",$H9="EUR"),IF(AND($Z9="Crédit",$N9=$N10),$Q10,IF(AND($Z9="Débit",$N9=$N8),$Q8)),IF(OR(AND(OR($E9&lt;&gt;"",$L9=""),$M9&lt;&gt;0),$A9=""),IFERROR(VLOOKUP($E9,Selection!$E:$F,2,false)),IFERROR(VLOOKUP(SUBSTITUTE($I9,"-","",1),$K10:$Q1119,7,false),VLOOKUP($K9,$K10:$Q1119,7,false))))</f>
        <v>iShares USD Treasury Bond 7-10yr UCITS ETF USD Dist</v>
      </c>
      <c r="R9" s="49" t="str">
        <f t="shared" si="2"/>
        <v>SELL</v>
      </c>
      <c r="S9" s="51">
        <f t="shared" si="3"/>
        <v>-5</v>
      </c>
      <c r="T9" s="52">
        <f t="shared" si="4"/>
        <v>166.98</v>
      </c>
      <c r="U9" s="46">
        <f t="shared" si="5"/>
        <v>834.9</v>
      </c>
      <c r="V9" s="53" t="str">
        <f>IFERROR(__xludf.DUMMYFUNCTION(" IF(Account!$F9&lt;&gt;"""", SPLIT(Account!$F9, "" ""), """")"),"Vente")</f>
        <v>Vente</v>
      </c>
      <c r="W9" s="56">
        <f>IFERROR(__xludf.DUMMYFUNCTION("""COMPUTED_VALUE"""),5.0)</f>
        <v>5</v>
      </c>
      <c r="X9" s="56" t="str">
        <f>IFERROR(__xludf.DUMMYFUNCTION("""COMPUTED_VALUE"""),"ISHARES")</f>
        <v>ISHARES</v>
      </c>
      <c r="Y9" s="56" t="str">
        <f>IFERROR(__xludf.DUMMYFUNCTION("""COMPUTED_VALUE"""),"US")</f>
        <v>US</v>
      </c>
      <c r="Z9" s="56" t="str">
        <f>IFERROR(__xludf.DUMMYFUNCTION("""COMPUTED_VALUE"""),"T")</f>
        <v>T</v>
      </c>
      <c r="AA9" s="56" t="str">
        <f>IFERROR(__xludf.DUMMYFUNCTION("""COMPUTED_VALUE"""),"7-10@166,98")</f>
        <v>7-10@166,98</v>
      </c>
      <c r="AB9" s="56" t="str">
        <f>IFERROR(__xludf.DUMMYFUNCTION("""COMPUTED_VALUE"""),"EUR")</f>
        <v>EUR</v>
      </c>
      <c r="AC9" s="56" t="str">
        <f>IFERROR(__xludf.DUMMYFUNCTION("""COMPUTED_VALUE"""),"(IE00B1FZS798)")</f>
        <v>(IE00B1FZS798)</v>
      </c>
      <c r="AD9" s="56"/>
      <c r="AE9" s="56"/>
      <c r="AF9" s="56"/>
      <c r="AG9" s="56"/>
      <c r="AH9" s="56"/>
      <c r="AI9" s="56"/>
      <c r="AJ9" s="56"/>
    </row>
    <row r="10">
      <c r="A10" s="11" t="s">
        <v>93</v>
      </c>
      <c r="B10" s="11" t="s">
        <v>100</v>
      </c>
      <c r="C10" s="11" t="s">
        <v>93</v>
      </c>
      <c r="D10" s="11" t="s">
        <v>95</v>
      </c>
      <c r="E10" s="11" t="s">
        <v>96</v>
      </c>
      <c r="F10" s="12" t="s">
        <v>101</v>
      </c>
      <c r="G10" s="11"/>
      <c r="H10" s="11" t="s">
        <v>54</v>
      </c>
      <c r="I10" s="11" t="s">
        <v>102</v>
      </c>
      <c r="J10" s="11" t="s">
        <v>54</v>
      </c>
      <c r="K10" s="11" t="s">
        <v>103</v>
      </c>
      <c r="L10" s="45">
        <f t="shared" si="1"/>
        <v>-2</v>
      </c>
      <c r="M10" s="46">
        <f>IFERROR(__xludf.DUMMYFUNCTION("IF(Account!$F10&lt;&gt;"""", VALUE(REGEXREPLACE($I10, ""\,"", ""."")), """")"),333.96)</f>
        <v>333.96</v>
      </c>
      <c r="N10" s="47">
        <f>IF(Account!$F10&lt;&gt;"", DATEVALUE(MID($A10,4,3) &amp; LEFT($A10,3) &amp; RIGHT($A10,4)) + TIMEVALUE($B10), "")</f>
        <v>43461.70069</v>
      </c>
      <c r="O10" s="48">
        <f>IF(Account!$F10&lt;&gt;"", DATEVALUE(MID($A10,4,3) &amp; LEFT($A10,3) &amp; RIGHT($A10,4)), "")</f>
        <v>43461</v>
      </c>
      <c r="P10" s="49" t="str">
        <f>IFERROR(VLOOKUP($Q10,Selection!$F:$G,2,false))</f>
        <v>Intermediate US bonds (7-10 year)</v>
      </c>
      <c r="Q10" s="50" t="str">
        <f>IF(AND($X10="change",$H10="EUR"),IF(AND($Z10="Crédit",$N10=$N11),$Q11,IF(AND($Z10="Débit",$N10=$N9),$Q9)),IF(OR(AND(OR($E10&lt;&gt;"",$L10=""),$M10&lt;&gt;0),$A10=""),IFERROR(VLOOKUP($E10,Selection!$E:$F,2,false)),IFERROR(VLOOKUP(SUBSTITUTE($I10,"-","",1),$K11:$Q1119,7,false),VLOOKUP($K10,$K11:$Q1119,7,false))))</f>
        <v>iShares USD Treasury Bond 7-10yr UCITS ETF USD Dist</v>
      </c>
      <c r="R10" s="49" t="str">
        <f t="shared" si="2"/>
        <v>SELL</v>
      </c>
      <c r="S10" s="51">
        <f t="shared" si="3"/>
        <v>-2</v>
      </c>
      <c r="T10" s="52">
        <f t="shared" si="4"/>
        <v>166.98</v>
      </c>
      <c r="U10" s="46">
        <f t="shared" si="5"/>
        <v>333.96</v>
      </c>
      <c r="V10" s="53" t="str">
        <f>IFERROR(__xludf.DUMMYFUNCTION(" IF(Account!$F10&lt;&gt;"""", SPLIT(Account!$F10, "" ""), """")"),"Vente")</f>
        <v>Vente</v>
      </c>
      <c r="W10" s="56">
        <f>IFERROR(__xludf.DUMMYFUNCTION("""COMPUTED_VALUE"""),2.0)</f>
        <v>2</v>
      </c>
      <c r="X10" s="56" t="str">
        <f>IFERROR(__xludf.DUMMYFUNCTION("""COMPUTED_VALUE"""),"ISHARES")</f>
        <v>ISHARES</v>
      </c>
      <c r="Y10" s="56" t="str">
        <f>IFERROR(__xludf.DUMMYFUNCTION("""COMPUTED_VALUE"""),"US")</f>
        <v>US</v>
      </c>
      <c r="Z10" s="56" t="str">
        <f>IFERROR(__xludf.DUMMYFUNCTION("""COMPUTED_VALUE"""),"T")</f>
        <v>T</v>
      </c>
      <c r="AA10" s="56" t="str">
        <f>IFERROR(__xludf.DUMMYFUNCTION("""COMPUTED_VALUE"""),"7-10@166,98")</f>
        <v>7-10@166,98</v>
      </c>
      <c r="AB10" s="56" t="str">
        <f>IFERROR(__xludf.DUMMYFUNCTION("""COMPUTED_VALUE"""),"EUR")</f>
        <v>EUR</v>
      </c>
      <c r="AC10" s="56" t="str">
        <f>IFERROR(__xludf.DUMMYFUNCTION("""COMPUTED_VALUE"""),"(IE00B1FZS798)")</f>
        <v>(IE00B1FZS798)</v>
      </c>
      <c r="AD10" s="56"/>
      <c r="AE10" s="56"/>
      <c r="AF10" s="56"/>
      <c r="AG10" s="56"/>
      <c r="AH10" s="56"/>
      <c r="AI10" s="56"/>
      <c r="AJ10" s="56"/>
    </row>
    <row r="11">
      <c r="A11" s="11" t="s">
        <v>93</v>
      </c>
      <c r="B11" s="11" t="s">
        <v>104</v>
      </c>
      <c r="C11" s="11" t="s">
        <v>93</v>
      </c>
      <c r="D11" s="11" t="s">
        <v>88</v>
      </c>
      <c r="E11" s="11" t="s">
        <v>89</v>
      </c>
      <c r="F11" s="12" t="s">
        <v>80</v>
      </c>
      <c r="G11" s="11" t="s">
        <v>105</v>
      </c>
      <c r="H11" s="11" t="s">
        <v>82</v>
      </c>
      <c r="I11" s="11" t="s">
        <v>106</v>
      </c>
      <c r="J11" s="11" t="s">
        <v>82</v>
      </c>
      <c r="K11" s="11" t="s">
        <v>107</v>
      </c>
      <c r="L11" s="45">
        <f t="shared" si="1"/>
        <v>0</v>
      </c>
      <c r="M11" s="46">
        <f>IFERROR(__xludf.DUMMYFUNCTION("IF(Account!$F11&lt;&gt;"""", VALUE(REGEXREPLACE($I11, ""\,"", ""."")), """")"),-3117.79)</f>
        <v>-3117.79</v>
      </c>
      <c r="N11" s="47">
        <f>IF(Account!$F11&lt;&gt;"", DATEVALUE(MID($A11,4,3) &amp; LEFT($A11,3) &amp; RIGHT($A11,4)) + TIMEVALUE($B11), "")</f>
        <v>43461.54444</v>
      </c>
      <c r="O11" s="48">
        <f>IF(Account!$F11&lt;&gt;"", DATEVALUE(MID($A11,4,3) &amp; LEFT($A11,3) &amp; RIGHT($A11,4)), "")</f>
        <v>43461</v>
      </c>
      <c r="P11" s="49" t="str">
        <f>IFERROR(VLOOKUP($Q11,Selection!$F:$G,2,false))</f>
        <v>Long term US bonds (20-25 year)</v>
      </c>
      <c r="Q11" s="50" t="str">
        <f>IF(AND($X11="change",$H11="EUR"),IF(AND($Z11="Crédit",$N11=$N12),$Q12,IF(AND($Z11="Débit",$N11=$N10),$Q10)),IF(OR(AND(OR($E11&lt;&gt;"",$L11=""),$M11&lt;&gt;0),$A11=""),IFERROR(VLOOKUP($E11,Selection!$E:$F,2,false)),IFERROR(VLOOKUP(SUBSTITUTE($I11,"-","",1),$K12:$Q1119,7,false),VLOOKUP($K11,$K12:$Q1119,7,false))))</f>
        <v>iShares USD Treasury Bond 20+yr UCITS ETF</v>
      </c>
      <c r="R11" s="49" t="str">
        <f t="shared" si="2"/>
        <v>SELL</v>
      </c>
      <c r="S11" s="51">
        <f t="shared" si="3"/>
        <v>-691</v>
      </c>
      <c r="T11" s="52">
        <f t="shared" si="4"/>
        <v>3.95577424</v>
      </c>
      <c r="U11" s="46">
        <f t="shared" si="5"/>
        <v>2733.44</v>
      </c>
      <c r="V11" s="53" t="str">
        <f>IFERROR(__xludf.DUMMYFUNCTION(" IF(Account!$F11&lt;&gt;"""", SPLIT(Account!$F11, "" ""), """")"),"Opération")</f>
        <v>Opération</v>
      </c>
      <c r="W11" s="56" t="str">
        <f>IFERROR(__xludf.DUMMYFUNCTION("""COMPUTED_VALUE"""),"de")</f>
        <v>de</v>
      </c>
      <c r="X11" s="56" t="str">
        <f>IFERROR(__xludf.DUMMYFUNCTION("""COMPUTED_VALUE"""),"change")</f>
        <v>change</v>
      </c>
      <c r="Y11" s="56" t="str">
        <f>IFERROR(__xludf.DUMMYFUNCTION("""COMPUTED_VALUE"""),"-")</f>
        <v>-</v>
      </c>
      <c r="Z11" s="56" t="str">
        <f>IFERROR(__xludf.DUMMYFUNCTION("""COMPUTED_VALUE"""),"Débit")</f>
        <v>Débit</v>
      </c>
      <c r="AA11" s="56"/>
      <c r="AB11" s="56"/>
      <c r="AC11" s="56"/>
      <c r="AD11" s="56"/>
      <c r="AE11" s="56"/>
      <c r="AF11" s="56"/>
      <c r="AG11" s="56"/>
      <c r="AH11" s="56"/>
      <c r="AI11" s="56"/>
      <c r="AJ11" s="56"/>
    </row>
    <row r="12">
      <c r="A12" s="11" t="s">
        <v>93</v>
      </c>
      <c r="B12" s="11" t="s">
        <v>104</v>
      </c>
      <c r="C12" s="11" t="s">
        <v>93</v>
      </c>
      <c r="D12" s="11" t="s">
        <v>88</v>
      </c>
      <c r="E12" s="11" t="s">
        <v>89</v>
      </c>
      <c r="F12" s="12" t="s">
        <v>77</v>
      </c>
      <c r="G12" s="11"/>
      <c r="H12" s="11" t="s">
        <v>54</v>
      </c>
      <c r="I12" s="11" t="s">
        <v>108</v>
      </c>
      <c r="J12" s="11" t="s">
        <v>54</v>
      </c>
      <c r="K12" s="11" t="s">
        <v>109</v>
      </c>
      <c r="L12" s="45">
        <f t="shared" si="1"/>
        <v>0</v>
      </c>
      <c r="M12" s="46">
        <f>IFERROR(__xludf.DUMMYFUNCTION("IF(Account!$F12&lt;&gt;"""", VALUE(REGEXREPLACE($I12, ""\,"", ""."")), """")"),2733.44)</f>
        <v>2733.44</v>
      </c>
      <c r="N12" s="47">
        <f>IF(Account!$F12&lt;&gt;"", DATEVALUE(MID($A12,4,3) &amp; LEFT($A12,3) &amp; RIGHT($A12,4)) + TIMEVALUE($B12), "")</f>
        <v>43461.54444</v>
      </c>
      <c r="O12" s="48">
        <f>IF(Account!$F12&lt;&gt;"", DATEVALUE(MID($A12,4,3) &amp; LEFT($A12,3) &amp; RIGHT($A12,4)), "")</f>
        <v>43461</v>
      </c>
      <c r="P12" s="49" t="str">
        <f>IFERROR(VLOOKUP($Q12,Selection!$F:$G,2,false))</f>
        <v>Long term US bonds (20-25 year)</v>
      </c>
      <c r="Q12" s="50" t="str">
        <f>IF(AND($X12="change",$H12="EUR"),IF(AND($Z12="Crédit",$N12=$N13),$Q13,IF(AND($Z12="Débit",$N12=$N11),$Q11)),IF(OR(AND(OR($E12&lt;&gt;"",$L12=""),$M12&lt;&gt;0),$A12=""),IFERROR(VLOOKUP($E12,Selection!$E:$F,2,false)),IFERROR(VLOOKUP(SUBSTITUTE($I12,"-","",1),$K13:$Q1119,7,false),VLOOKUP($K12,$K13:$Q1119,7,false))))</f>
        <v>iShares USD Treasury Bond 20+yr UCITS ETF</v>
      </c>
      <c r="R12" s="49" t="str">
        <f t="shared" si="2"/>
        <v>SELL</v>
      </c>
      <c r="S12" s="51">
        <f t="shared" si="3"/>
        <v>-691</v>
      </c>
      <c r="T12" s="52">
        <f t="shared" si="4"/>
        <v>3.95577424</v>
      </c>
      <c r="U12" s="46">
        <f t="shared" si="5"/>
        <v>2733.44</v>
      </c>
      <c r="V12" s="53" t="str">
        <f>IFERROR(__xludf.DUMMYFUNCTION(" IF(Account!$F12&lt;&gt;"""", SPLIT(Account!$F12, "" ""), """")"),"Operation")</f>
        <v>Operation</v>
      </c>
      <c r="W12" s="56" t="str">
        <f>IFERROR(__xludf.DUMMYFUNCTION("""COMPUTED_VALUE"""),"de")</f>
        <v>de</v>
      </c>
      <c r="X12" s="56" t="str">
        <f>IFERROR(__xludf.DUMMYFUNCTION("""COMPUTED_VALUE"""),"change")</f>
        <v>change</v>
      </c>
      <c r="Y12" s="56" t="str">
        <f>IFERROR(__xludf.DUMMYFUNCTION("""COMPUTED_VALUE"""),"-")</f>
        <v>-</v>
      </c>
      <c r="Z12" s="56" t="str">
        <f>IFERROR(__xludf.DUMMYFUNCTION("""COMPUTED_VALUE"""),"Crédit")</f>
        <v>Crédit</v>
      </c>
      <c r="AA12" s="56"/>
      <c r="AB12" s="56"/>
      <c r="AC12" s="56"/>
      <c r="AD12" s="56"/>
      <c r="AE12" s="56"/>
      <c r="AF12" s="56"/>
      <c r="AG12" s="56"/>
      <c r="AH12" s="56"/>
      <c r="AI12" s="56"/>
      <c r="AJ12" s="56"/>
    </row>
    <row r="13">
      <c r="A13" s="11" t="s">
        <v>93</v>
      </c>
      <c r="B13" s="11" t="s">
        <v>104</v>
      </c>
      <c r="C13" s="11" t="s">
        <v>93</v>
      </c>
      <c r="D13" s="11" t="s">
        <v>88</v>
      </c>
      <c r="E13" s="11" t="s">
        <v>89</v>
      </c>
      <c r="F13" s="12" t="s">
        <v>110</v>
      </c>
      <c r="G13" s="11"/>
      <c r="H13" s="11" t="s">
        <v>54</v>
      </c>
      <c r="I13" s="11" t="s">
        <v>111</v>
      </c>
      <c r="J13" s="11" t="s">
        <v>54</v>
      </c>
      <c r="K13" s="11" t="s">
        <v>112</v>
      </c>
      <c r="L13" s="45" t="str">
        <f t="shared" si="1"/>
        <v/>
      </c>
      <c r="M13" s="46">
        <f>IFERROR(__xludf.DUMMYFUNCTION("IF(Account!$F13&lt;&gt;"""", VALUE(REGEXREPLACE($I13, ""\,"", ""."")), """")"),-0.55)</f>
        <v>-0.55</v>
      </c>
      <c r="N13" s="47">
        <f>IF(Account!$F13&lt;&gt;"", DATEVALUE(MID($A13,4,3) &amp; LEFT($A13,3) &amp; RIGHT($A13,4)) + TIMEVALUE($B13), "")</f>
        <v>43461.54444</v>
      </c>
      <c r="O13" s="48">
        <f>IF(Account!$F13&lt;&gt;"", DATEVALUE(MID($A13,4,3) &amp; LEFT($A13,3) &amp; RIGHT($A13,4)), "")</f>
        <v>43461</v>
      </c>
      <c r="P13" s="49" t="str">
        <f>IFERROR(VLOOKUP($Q13,Selection!$F:$G,2,false))</f>
        <v>Long term US bonds (20-25 year)</v>
      </c>
      <c r="Q13" s="50" t="str">
        <f>IF(AND($X13="change",$H13="EUR"),IF(AND($Z13="Crédit",$N13=$N14),$Q14,IF(AND($Z13="Débit",$N13=$N12),$Q12)),IF(OR(AND(OR($E13&lt;&gt;"",$L13=""),$M13&lt;&gt;0),$A13=""),IFERROR(VLOOKUP($E13,Selection!$E:$F,2,false)),IFERROR(VLOOKUP(SUBSTITUTE($I13,"-","",1),$K14:$Q1119,7,false),VLOOKUP($K13,$K14:$Q1119,7,false))))</f>
        <v>iShares USD Treasury Bond 20+yr UCITS ETF</v>
      </c>
      <c r="R13" s="49" t="str">
        <f t="shared" si="2"/>
        <v>COST</v>
      </c>
      <c r="S13" s="51" t="str">
        <f t="shared" si="3"/>
        <v/>
      </c>
      <c r="T13" s="52" t="str">
        <f t="shared" si="4"/>
        <v/>
      </c>
      <c r="U13" s="46">
        <f t="shared" si="5"/>
        <v>-0.55</v>
      </c>
      <c r="V13" s="53" t="str">
        <f>IFERROR(__xludf.DUMMYFUNCTION(" IF(Account!$F13&lt;&gt;"""", SPLIT(Account!$F13, "" ""), """")"),"Frais")</f>
        <v>Frais</v>
      </c>
      <c r="W13" s="56" t="str">
        <f>IFERROR(__xludf.DUMMYFUNCTION("""COMPUTED_VALUE"""),"de")</f>
        <v>de</v>
      </c>
      <c r="X13" s="56" t="str">
        <f>IFERROR(__xludf.DUMMYFUNCTION("""COMPUTED_VALUE"""),"courtage")</f>
        <v>courtage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</row>
    <row r="14">
      <c r="A14" s="11" t="s">
        <v>93</v>
      </c>
      <c r="B14" s="11" t="s">
        <v>104</v>
      </c>
      <c r="C14" s="11" t="s">
        <v>93</v>
      </c>
      <c r="D14" s="11" t="s">
        <v>88</v>
      </c>
      <c r="E14" s="11" t="s">
        <v>89</v>
      </c>
      <c r="F14" s="12" t="s">
        <v>113</v>
      </c>
      <c r="G14" s="11"/>
      <c r="H14" s="11" t="s">
        <v>82</v>
      </c>
      <c r="I14" s="11" t="s">
        <v>114</v>
      </c>
      <c r="J14" s="11" t="s">
        <v>82</v>
      </c>
      <c r="K14" s="11" t="s">
        <v>115</v>
      </c>
      <c r="L14" s="45">
        <f t="shared" si="1"/>
        <v>-691</v>
      </c>
      <c r="M14" s="46">
        <f>IFERROR(__xludf.DUMMYFUNCTION("IF(Account!$F14&lt;&gt;"""", VALUE(REGEXREPLACE($I14, ""\,"", ""."")), """")"),3117.79)</f>
        <v>3117.79</v>
      </c>
      <c r="N14" s="47">
        <f>IF(Account!$F14&lt;&gt;"", DATEVALUE(MID($A14,4,3) &amp; LEFT($A14,3) &amp; RIGHT($A14,4)) + TIMEVALUE($B14), "")</f>
        <v>43461.54444</v>
      </c>
      <c r="O14" s="48">
        <f>IF(Account!$F14&lt;&gt;"", DATEVALUE(MID($A14,4,3) &amp; LEFT($A14,3) &amp; RIGHT($A14,4)), "")</f>
        <v>43461</v>
      </c>
      <c r="P14" s="49" t="str">
        <f>IFERROR(VLOOKUP($Q14,Selection!$F:$G,2,false))</f>
        <v>Long term US bonds (20-25 year)</v>
      </c>
      <c r="Q14" s="50" t="str">
        <f>IF(AND($X14="change",$H14="EUR"),IF(AND($Z14="Crédit",$N14=$N15),$Q15,IF(AND($Z14="Débit",$N14=$N13),$Q13)),IF(OR(AND(OR($E14&lt;&gt;"",$L14=""),$M14&lt;&gt;0),$A14=""),IFERROR(VLOOKUP($E14,Selection!$E:$F,2,false)),IFERROR(VLOOKUP(SUBSTITUTE($I14,"-","",1),$K15:$Q1119,7,false),VLOOKUP($K14,$K15:$Q1119,7,false))))</f>
        <v>iShares USD Treasury Bond 20+yr UCITS ETF</v>
      </c>
      <c r="R14" s="49" t="str">
        <f t="shared" si="2"/>
        <v>SELL</v>
      </c>
      <c r="S14" s="51">
        <f t="shared" si="3"/>
        <v>-691</v>
      </c>
      <c r="T14" s="52">
        <f t="shared" si="4"/>
        <v>3.95577424</v>
      </c>
      <c r="U14" s="46">
        <f t="shared" si="5"/>
        <v>2733.44</v>
      </c>
      <c r="V14" s="53" t="str">
        <f>IFERROR(__xludf.DUMMYFUNCTION(" IF(Account!$F14&lt;&gt;"""", SPLIT(Account!$F14, "" ""), """")"),"Vente")</f>
        <v>Vente</v>
      </c>
      <c r="W14" s="56">
        <f>IFERROR(__xludf.DUMMYFUNCTION("""COMPUTED_VALUE"""),691.0)</f>
        <v>691</v>
      </c>
      <c r="X14" s="56" t="str">
        <f>IFERROR(__xludf.DUMMYFUNCTION("""COMPUTED_VALUE"""),"ISH")</f>
        <v>ISH</v>
      </c>
      <c r="Y14" s="56" t="str">
        <f>IFERROR(__xludf.DUMMYFUNCTION("""COMPUTED_VALUE"""),"$")</f>
        <v>$</v>
      </c>
      <c r="Z14" s="56" t="str">
        <f>IFERROR(__xludf.DUMMYFUNCTION("""COMPUTED_VALUE"""),"TRESU")</f>
        <v>TRESU</v>
      </c>
      <c r="AA14" s="56" t="str">
        <f>IFERROR(__xludf.DUMMYFUNCTION("""COMPUTED_VALUE"""),"20+@4,512")</f>
        <v>20+@4,512</v>
      </c>
      <c r="AB14" s="56" t="str">
        <f>IFERROR(__xludf.DUMMYFUNCTION("""COMPUTED_VALUE"""),"USD")</f>
        <v>USD</v>
      </c>
      <c r="AC14" s="56" t="str">
        <f>IFERROR(__xludf.DUMMYFUNCTION("""COMPUTED_VALUE"""),"(IE00BSKRJZ44)")</f>
        <v>(IE00BSKRJZ44)</v>
      </c>
      <c r="AD14" s="56"/>
      <c r="AE14" s="56"/>
      <c r="AF14" s="56"/>
      <c r="AG14" s="56"/>
      <c r="AH14" s="56"/>
      <c r="AI14" s="56"/>
      <c r="AJ14" s="56"/>
    </row>
    <row r="15">
      <c r="A15" s="11" t="s">
        <v>93</v>
      </c>
      <c r="B15" s="11" t="s">
        <v>116</v>
      </c>
      <c r="C15" s="11" t="s">
        <v>93</v>
      </c>
      <c r="D15" s="11" t="s">
        <v>88</v>
      </c>
      <c r="E15" s="11" t="s">
        <v>89</v>
      </c>
      <c r="F15" s="12" t="s">
        <v>80</v>
      </c>
      <c r="G15" s="11" t="s">
        <v>117</v>
      </c>
      <c r="H15" s="11" t="s">
        <v>82</v>
      </c>
      <c r="I15" s="11" t="s">
        <v>118</v>
      </c>
      <c r="J15" s="11" t="s">
        <v>82</v>
      </c>
      <c r="K15" s="11" t="s">
        <v>107</v>
      </c>
      <c r="L15" s="45">
        <f t="shared" si="1"/>
        <v>0</v>
      </c>
      <c r="M15" s="46">
        <f>IFERROR(__xludf.DUMMYFUNCTION("IF(Account!$F15&lt;&gt;"""", VALUE(REGEXREPLACE($I15, ""\,"", ""."")), """")"),-1601.76)</f>
        <v>-1601.76</v>
      </c>
      <c r="N15" s="47">
        <f>IF(Account!$F15&lt;&gt;"", DATEVALUE(MID($A15,4,3) &amp; LEFT($A15,3) &amp; RIGHT($A15,4)) + TIMEVALUE($B15), "")</f>
        <v>43461.53819</v>
      </c>
      <c r="O15" s="48">
        <f>IF(Account!$F15&lt;&gt;"", DATEVALUE(MID($A15,4,3) &amp; LEFT($A15,3) &amp; RIGHT($A15,4)), "")</f>
        <v>43461</v>
      </c>
      <c r="P15" s="49" t="str">
        <f>IFERROR(VLOOKUP($Q15,Selection!$F:$G,2,false))</f>
        <v>Long term US bonds (20-25 year)</v>
      </c>
      <c r="Q15" s="50" t="str">
        <f>IF(AND($X15="change",$H15="EUR"),IF(AND($Z15="Crédit",$N15=$N16),$Q16,IF(AND($Z15="Débit",$N15=$N14),$Q14)),IF(OR(AND(OR($E15&lt;&gt;"",$L15=""),$M15&lt;&gt;0),$A15=""),IFERROR(VLOOKUP($E15,Selection!$E:$F,2,false)),IFERROR(VLOOKUP(SUBSTITUTE($I15,"-","",1),$K16:$Q1119,7,false),VLOOKUP($K15,$K16:$Q1119,7,false))))</f>
        <v>iShares USD Treasury Bond 20+yr UCITS ETF</v>
      </c>
      <c r="R15" s="49" t="str">
        <f t="shared" si="2"/>
        <v>SELL</v>
      </c>
      <c r="S15" s="51">
        <f t="shared" si="3"/>
        <v>-355</v>
      </c>
      <c r="T15" s="52">
        <f t="shared" si="4"/>
        <v>3.958028169</v>
      </c>
      <c r="U15" s="46">
        <f t="shared" si="5"/>
        <v>1405.1</v>
      </c>
      <c r="V15" s="53" t="str">
        <f>IFERROR(__xludf.DUMMYFUNCTION(" IF(Account!$F15&lt;&gt;"""", SPLIT(Account!$F15, "" ""), """")"),"Opération")</f>
        <v>Opération</v>
      </c>
      <c r="W15" s="56" t="str">
        <f>IFERROR(__xludf.DUMMYFUNCTION("""COMPUTED_VALUE"""),"de")</f>
        <v>de</v>
      </c>
      <c r="X15" s="56" t="str">
        <f>IFERROR(__xludf.DUMMYFUNCTION("""COMPUTED_VALUE"""),"change")</f>
        <v>change</v>
      </c>
      <c r="Y15" s="56" t="str">
        <f>IFERROR(__xludf.DUMMYFUNCTION("""COMPUTED_VALUE"""),"-")</f>
        <v>-</v>
      </c>
      <c r="Z15" s="56" t="str">
        <f>IFERROR(__xludf.DUMMYFUNCTION("""COMPUTED_VALUE"""),"Débit")</f>
        <v>Débit</v>
      </c>
      <c r="AA15" s="56"/>
      <c r="AB15" s="56"/>
      <c r="AC15" s="56"/>
      <c r="AD15" s="56"/>
      <c r="AE15" s="56"/>
      <c r="AF15" s="56"/>
      <c r="AG15" s="56"/>
      <c r="AH15" s="56"/>
      <c r="AI15" s="56"/>
      <c r="AJ15" s="56"/>
    </row>
    <row r="16">
      <c r="A16" s="11" t="s">
        <v>93</v>
      </c>
      <c r="B16" s="11" t="s">
        <v>116</v>
      </c>
      <c r="C16" s="11" t="s">
        <v>93</v>
      </c>
      <c r="D16" s="11" t="s">
        <v>88</v>
      </c>
      <c r="E16" s="11" t="s">
        <v>89</v>
      </c>
      <c r="F16" s="12" t="s">
        <v>77</v>
      </c>
      <c r="G16" s="11"/>
      <c r="H16" s="11" t="s">
        <v>54</v>
      </c>
      <c r="I16" s="11" t="s">
        <v>119</v>
      </c>
      <c r="J16" s="11" t="s">
        <v>54</v>
      </c>
      <c r="K16" s="11" t="s">
        <v>120</v>
      </c>
      <c r="L16" s="45">
        <f t="shared" si="1"/>
        <v>0</v>
      </c>
      <c r="M16" s="46">
        <f>IFERROR(__xludf.DUMMYFUNCTION("IF(Account!$F16&lt;&gt;"""", VALUE(REGEXREPLACE($I16, ""\,"", ""."")), """")"),1405.1)</f>
        <v>1405.1</v>
      </c>
      <c r="N16" s="47">
        <f>IF(Account!$F16&lt;&gt;"", DATEVALUE(MID($A16,4,3) &amp; LEFT($A16,3) &amp; RIGHT($A16,4)) + TIMEVALUE($B16), "")</f>
        <v>43461.53819</v>
      </c>
      <c r="O16" s="48">
        <f>IF(Account!$F16&lt;&gt;"", DATEVALUE(MID($A16,4,3) &amp; LEFT($A16,3) &amp; RIGHT($A16,4)), "")</f>
        <v>43461</v>
      </c>
      <c r="P16" s="49" t="str">
        <f>IFERROR(VLOOKUP($Q16,Selection!$F:$G,2,false))</f>
        <v>Long term US bonds (20-25 year)</v>
      </c>
      <c r="Q16" s="50" t="str">
        <f>IF(AND($X16="change",$H16="EUR"),IF(AND($Z16="Crédit",$N16=$N17),$Q17,IF(AND($Z16="Débit",$N16=$N15),$Q15)),IF(OR(AND(OR($E16&lt;&gt;"",$L16=""),$M16&lt;&gt;0),$A16=""),IFERROR(VLOOKUP($E16,Selection!$E:$F,2,false)),IFERROR(VLOOKUP(SUBSTITUTE($I16,"-","",1),$K17:$Q1119,7,false),VLOOKUP($K16,$K17:$Q1119,7,false))))</f>
        <v>iShares USD Treasury Bond 20+yr UCITS ETF</v>
      </c>
      <c r="R16" s="49" t="str">
        <f t="shared" si="2"/>
        <v>SELL</v>
      </c>
      <c r="S16" s="51">
        <f t="shared" si="3"/>
        <v>-355</v>
      </c>
      <c r="T16" s="52">
        <f t="shared" si="4"/>
        <v>3.958028169</v>
      </c>
      <c r="U16" s="46">
        <f t="shared" si="5"/>
        <v>1405.1</v>
      </c>
      <c r="V16" s="53" t="str">
        <f>IFERROR(__xludf.DUMMYFUNCTION(" IF(Account!$F16&lt;&gt;"""", SPLIT(Account!$F16, "" ""), """")"),"Operation")</f>
        <v>Operation</v>
      </c>
      <c r="W16" s="56" t="str">
        <f>IFERROR(__xludf.DUMMYFUNCTION("""COMPUTED_VALUE"""),"de")</f>
        <v>de</v>
      </c>
      <c r="X16" s="56" t="str">
        <f>IFERROR(__xludf.DUMMYFUNCTION("""COMPUTED_VALUE"""),"change")</f>
        <v>change</v>
      </c>
      <c r="Y16" s="56" t="str">
        <f>IFERROR(__xludf.DUMMYFUNCTION("""COMPUTED_VALUE"""),"-")</f>
        <v>-</v>
      </c>
      <c r="Z16" s="56" t="str">
        <f>IFERROR(__xludf.DUMMYFUNCTION("""COMPUTED_VALUE"""),"Crédit")</f>
        <v>Crédit</v>
      </c>
      <c r="AA16" s="56"/>
      <c r="AB16" s="56"/>
      <c r="AC16" s="56"/>
      <c r="AD16" s="56"/>
      <c r="AE16" s="56"/>
      <c r="AF16" s="56"/>
      <c r="AG16" s="56"/>
      <c r="AH16" s="56"/>
      <c r="AI16" s="56"/>
      <c r="AJ16" s="56"/>
    </row>
    <row r="17">
      <c r="A17" s="11" t="s">
        <v>93</v>
      </c>
      <c r="B17" s="11" t="s">
        <v>116</v>
      </c>
      <c r="C17" s="11" t="s">
        <v>93</v>
      </c>
      <c r="D17" s="11" t="s">
        <v>88</v>
      </c>
      <c r="E17" s="11" t="s">
        <v>89</v>
      </c>
      <c r="F17" s="12" t="s">
        <v>110</v>
      </c>
      <c r="G17" s="11"/>
      <c r="H17" s="11" t="s">
        <v>54</v>
      </c>
      <c r="I17" s="11" t="s">
        <v>121</v>
      </c>
      <c r="J17" s="11" t="s">
        <v>54</v>
      </c>
      <c r="K17" s="11" t="s">
        <v>122</v>
      </c>
      <c r="L17" s="45" t="str">
        <f t="shared" si="1"/>
        <v/>
      </c>
      <c r="M17" s="46">
        <f>IFERROR(__xludf.DUMMYFUNCTION("IF(Account!$F17&lt;&gt;"""", VALUE(REGEXREPLACE($I17, ""\,"", ""."")), """")"),-2.0)</f>
        <v>-2</v>
      </c>
      <c r="N17" s="47">
        <f>IF(Account!$F17&lt;&gt;"", DATEVALUE(MID($A17,4,3) &amp; LEFT($A17,3) &amp; RIGHT($A17,4)) + TIMEVALUE($B17), "")</f>
        <v>43461.53819</v>
      </c>
      <c r="O17" s="48">
        <f>IF(Account!$F17&lt;&gt;"", DATEVALUE(MID($A17,4,3) &amp; LEFT($A17,3) &amp; RIGHT($A17,4)), "")</f>
        <v>43461</v>
      </c>
      <c r="P17" s="49" t="str">
        <f>IFERROR(VLOOKUP($Q17,Selection!$F:$G,2,false))</f>
        <v>Long term US bonds (20-25 year)</v>
      </c>
      <c r="Q17" s="50" t="str">
        <f>IF(AND($X17="change",$H17="EUR"),IF(AND($Z17="Crédit",$N17=$N18),$Q18,IF(AND($Z17="Débit",$N17=$N16),$Q16)),IF(OR(AND(OR($E17&lt;&gt;"",$L17=""),$M17&lt;&gt;0),$A17=""),IFERROR(VLOOKUP($E17,Selection!$E:$F,2,false)),IFERROR(VLOOKUP(SUBSTITUTE($I17,"-","",1),$K18:$Q1119,7,false),VLOOKUP($K17,$K18:$Q1119,7,false))))</f>
        <v>iShares USD Treasury Bond 20+yr UCITS ETF</v>
      </c>
      <c r="R17" s="49" t="str">
        <f t="shared" si="2"/>
        <v>COST</v>
      </c>
      <c r="S17" s="51" t="str">
        <f t="shared" si="3"/>
        <v/>
      </c>
      <c r="T17" s="52" t="str">
        <f t="shared" si="4"/>
        <v/>
      </c>
      <c r="U17" s="46">
        <f t="shared" si="5"/>
        <v>-2.28</v>
      </c>
      <c r="V17" s="53" t="str">
        <f>IFERROR(__xludf.DUMMYFUNCTION(" IF(Account!$F17&lt;&gt;"""", SPLIT(Account!$F17, "" ""), """")"),"Frais")</f>
        <v>Frais</v>
      </c>
      <c r="W17" s="56" t="str">
        <f>IFERROR(__xludf.DUMMYFUNCTION("""COMPUTED_VALUE"""),"de")</f>
        <v>de</v>
      </c>
      <c r="X17" s="56" t="str">
        <f>IFERROR(__xludf.DUMMYFUNCTION("""COMPUTED_VALUE"""),"courtage")</f>
        <v>courtage</v>
      </c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</row>
    <row r="18">
      <c r="A18" s="11" t="s">
        <v>93</v>
      </c>
      <c r="B18" s="11" t="s">
        <v>116</v>
      </c>
      <c r="C18" s="11" t="s">
        <v>93</v>
      </c>
      <c r="D18" s="11" t="s">
        <v>88</v>
      </c>
      <c r="E18" s="11" t="s">
        <v>89</v>
      </c>
      <c r="F18" s="12" t="s">
        <v>110</v>
      </c>
      <c r="G18" s="11"/>
      <c r="H18" s="11" t="s">
        <v>54</v>
      </c>
      <c r="I18" s="11" t="s">
        <v>123</v>
      </c>
      <c r="J18" s="11" t="s">
        <v>54</v>
      </c>
      <c r="K18" s="11" t="s">
        <v>124</v>
      </c>
      <c r="L18" s="45" t="str">
        <f t="shared" si="1"/>
        <v/>
      </c>
      <c r="M18" s="46">
        <f>IFERROR(__xludf.DUMMYFUNCTION("IF(Account!$F18&lt;&gt;"""", VALUE(REGEXREPLACE($I18, ""\,"", ""."")), """")"),-0.28)</f>
        <v>-0.28</v>
      </c>
      <c r="N18" s="47">
        <f>IF(Account!$F18&lt;&gt;"", DATEVALUE(MID($A18,4,3) &amp; LEFT($A18,3) &amp; RIGHT($A18,4)) + TIMEVALUE($B18), "")</f>
        <v>43461.53819</v>
      </c>
      <c r="O18" s="48">
        <f>IF(Account!$F18&lt;&gt;"", DATEVALUE(MID($A18,4,3) &amp; LEFT($A18,3) &amp; RIGHT($A18,4)), "")</f>
        <v>43461</v>
      </c>
      <c r="P18" s="49" t="str">
        <f>IFERROR(VLOOKUP($Q18,Selection!$F:$G,2,false))</f>
        <v>Long term US bonds (20-25 year)</v>
      </c>
      <c r="Q18" s="50" t="str">
        <f>IF(AND($X18="change",$H18="EUR"),IF(AND($Z18="Crédit",$N18=$N19),$Q19,IF(AND($Z18="Débit",$N18=$N17),$Q17)),IF(OR(AND(OR($E18&lt;&gt;"",$L18=""),$M18&lt;&gt;0),$A18=""),IFERROR(VLOOKUP($E18,Selection!$E:$F,2,false)),IFERROR(VLOOKUP(SUBSTITUTE($I18,"-","",1),$K19:$Q1119,7,false),VLOOKUP($K18,$K19:$Q1119,7,false))))</f>
        <v>iShares USD Treasury Bond 20+yr UCITS ETF</v>
      </c>
      <c r="R18" s="49" t="str">
        <f t="shared" si="2"/>
        <v>COST</v>
      </c>
      <c r="S18" s="51" t="str">
        <f t="shared" si="3"/>
        <v/>
      </c>
      <c r="T18" s="52" t="str">
        <f t="shared" si="4"/>
        <v/>
      </c>
      <c r="U18" s="46">
        <f t="shared" si="5"/>
        <v>-2.28</v>
      </c>
      <c r="V18" s="53" t="str">
        <f>IFERROR(__xludf.DUMMYFUNCTION(" IF(Account!$F18&lt;&gt;"""", SPLIT(Account!$F18, "" ""), """")"),"Frais")</f>
        <v>Frais</v>
      </c>
      <c r="W18" s="56" t="str">
        <f>IFERROR(__xludf.DUMMYFUNCTION("""COMPUTED_VALUE"""),"de")</f>
        <v>de</v>
      </c>
      <c r="X18" s="56" t="str">
        <f>IFERROR(__xludf.DUMMYFUNCTION("""COMPUTED_VALUE"""),"courtage")</f>
        <v>courtage</v>
      </c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</row>
    <row r="19">
      <c r="A19" s="11" t="s">
        <v>93</v>
      </c>
      <c r="B19" s="11" t="s">
        <v>116</v>
      </c>
      <c r="C19" s="11" t="s">
        <v>93</v>
      </c>
      <c r="D19" s="11" t="s">
        <v>88</v>
      </c>
      <c r="E19" s="11" t="s">
        <v>89</v>
      </c>
      <c r="F19" s="12" t="s">
        <v>125</v>
      </c>
      <c r="G19" s="11"/>
      <c r="H19" s="11" t="s">
        <v>82</v>
      </c>
      <c r="I19" s="11" t="s">
        <v>126</v>
      </c>
      <c r="J19" s="11" t="s">
        <v>82</v>
      </c>
      <c r="K19" s="11" t="s">
        <v>127</v>
      </c>
      <c r="L19" s="45">
        <f t="shared" si="1"/>
        <v>-355</v>
      </c>
      <c r="M19" s="46">
        <f>IFERROR(__xludf.DUMMYFUNCTION("IF(Account!$F19&lt;&gt;"""", VALUE(REGEXREPLACE($I19, ""\,"", ""."")), """")"),1601.76)</f>
        <v>1601.76</v>
      </c>
      <c r="N19" s="47">
        <f>IF(Account!$F19&lt;&gt;"", DATEVALUE(MID($A19,4,3) &amp; LEFT($A19,3) &amp; RIGHT($A19,4)) + TIMEVALUE($B19), "")</f>
        <v>43461.53819</v>
      </c>
      <c r="O19" s="48">
        <f>IF(Account!$F19&lt;&gt;"", DATEVALUE(MID($A19,4,3) &amp; LEFT($A19,3) &amp; RIGHT($A19,4)), "")</f>
        <v>43461</v>
      </c>
      <c r="P19" s="49" t="str">
        <f>IFERROR(VLOOKUP($Q19,Selection!$F:$G,2,false))</f>
        <v>Long term US bonds (20-25 year)</v>
      </c>
      <c r="Q19" s="50" t="str">
        <f>IF(AND($X19="change",$H19="EUR"),IF(AND($Z19="Crédit",$N19=$N20),$Q20,IF(AND($Z19="Débit",$N19=$N18),$Q18)),IF(OR(AND(OR($E19&lt;&gt;"",$L19=""),$M19&lt;&gt;0),$A19=""),IFERROR(VLOOKUP($E19,Selection!$E:$F,2,false)),IFERROR(VLOOKUP(SUBSTITUTE($I19,"-","",1),$K20:$Q1119,7,false),VLOOKUP($K19,$K20:$Q1119,7,false))))</f>
        <v>iShares USD Treasury Bond 20+yr UCITS ETF</v>
      </c>
      <c r="R19" s="49" t="str">
        <f t="shared" si="2"/>
        <v>SELL</v>
      </c>
      <c r="S19" s="51">
        <f t="shared" si="3"/>
        <v>-355</v>
      </c>
      <c r="T19" s="52">
        <f t="shared" si="4"/>
        <v>3.958028169</v>
      </c>
      <c r="U19" s="46">
        <f t="shared" si="5"/>
        <v>1405.1</v>
      </c>
      <c r="V19" s="53" t="str">
        <f>IFERROR(__xludf.DUMMYFUNCTION(" IF(Account!$F19&lt;&gt;"""", SPLIT(Account!$F19, "" ""), """")"),"Vente")</f>
        <v>Vente</v>
      </c>
      <c r="W19" s="56">
        <f>IFERROR(__xludf.DUMMYFUNCTION("""COMPUTED_VALUE"""),355.0)</f>
        <v>355</v>
      </c>
      <c r="X19" s="56" t="str">
        <f>IFERROR(__xludf.DUMMYFUNCTION("""COMPUTED_VALUE"""),"ISH")</f>
        <v>ISH</v>
      </c>
      <c r="Y19" s="56" t="str">
        <f>IFERROR(__xludf.DUMMYFUNCTION("""COMPUTED_VALUE"""),"$")</f>
        <v>$</v>
      </c>
      <c r="Z19" s="56" t="str">
        <f>IFERROR(__xludf.DUMMYFUNCTION("""COMPUTED_VALUE"""),"TRESU")</f>
        <v>TRESU</v>
      </c>
      <c r="AA19" s="56" t="str">
        <f>IFERROR(__xludf.DUMMYFUNCTION("""COMPUTED_VALUE"""),"20+@4,512")</f>
        <v>20+@4,512</v>
      </c>
      <c r="AB19" s="56" t="str">
        <f>IFERROR(__xludf.DUMMYFUNCTION("""COMPUTED_VALUE"""),"USD")</f>
        <v>USD</v>
      </c>
      <c r="AC19" s="56" t="str">
        <f>IFERROR(__xludf.DUMMYFUNCTION("""COMPUTED_VALUE"""),"(IE00BSKRJZ44)")</f>
        <v>(IE00BSKRJZ44)</v>
      </c>
      <c r="AD19" s="56"/>
      <c r="AE19" s="56"/>
      <c r="AF19" s="56"/>
      <c r="AG19" s="56"/>
      <c r="AH19" s="56"/>
      <c r="AI19" s="56"/>
      <c r="AJ19" s="56"/>
    </row>
    <row r="20">
      <c r="A20" s="11" t="s">
        <v>93</v>
      </c>
      <c r="B20" s="11" t="s">
        <v>128</v>
      </c>
      <c r="C20" s="11" t="s">
        <v>93</v>
      </c>
      <c r="D20" s="11" t="s">
        <v>129</v>
      </c>
      <c r="E20" s="11" t="s">
        <v>130</v>
      </c>
      <c r="F20" s="12" t="s">
        <v>131</v>
      </c>
      <c r="G20" s="11"/>
      <c r="H20" s="11" t="s">
        <v>54</v>
      </c>
      <c r="I20" s="11" t="s">
        <v>132</v>
      </c>
      <c r="J20" s="11" t="s">
        <v>54</v>
      </c>
      <c r="K20" s="11" t="s">
        <v>133</v>
      </c>
      <c r="L20" s="45">
        <f t="shared" si="1"/>
        <v>-11</v>
      </c>
      <c r="M20" s="46">
        <f>IFERROR(__xludf.DUMMYFUNCTION("IF(Account!$F20&lt;&gt;"""", VALUE(REGEXREPLACE($I20, ""\,"", ""."")), """")"),1172.6)</f>
        <v>1172.6</v>
      </c>
      <c r="N20" s="47">
        <f>IF(Account!$F20&lt;&gt;"", DATEVALUE(MID($A20,4,3) &amp; LEFT($A20,3) &amp; RIGHT($A20,4)) + TIMEVALUE($B20), "")</f>
        <v>43461.50139</v>
      </c>
      <c r="O20" s="48">
        <f>IF(Account!$F20&lt;&gt;"", DATEVALUE(MID($A20,4,3) &amp; LEFT($A20,3) &amp; RIGHT($A20,4)), "")</f>
        <v>43461</v>
      </c>
      <c r="P20" s="49" t="str">
        <f>IFERROR(VLOOKUP($Q20,Selection!$F:$G,2,false))</f>
        <v>Gold</v>
      </c>
      <c r="Q20" s="50" t="str">
        <f>IF(AND($X20="change",$H20="EUR"),IF(AND($Z20="Crédit",$N20=$N21),$Q21,IF(AND($Z20="Débit",$N20=$N19),$Q19)),IF(OR(AND(OR($E20&lt;&gt;"",$L20=""),$M20&lt;&gt;0),$A20=""),IFERROR(VLOOKUP($E20,Selection!$E:$F,2,false)),IFERROR(VLOOKUP(SUBSTITUTE($I20,"-","",1),$K21:$Q1119,7,false),VLOOKUP($K20,$K21:$Q1119,7,false))))</f>
        <v>ETFS Physical Gold</v>
      </c>
      <c r="R20" s="49" t="str">
        <f t="shared" si="2"/>
        <v>SELL</v>
      </c>
      <c r="S20" s="51">
        <f t="shared" si="3"/>
        <v>-11</v>
      </c>
      <c r="T20" s="52">
        <f t="shared" si="4"/>
        <v>106.6</v>
      </c>
      <c r="U20" s="46">
        <f t="shared" si="5"/>
        <v>1172.6</v>
      </c>
      <c r="V20" s="53" t="str">
        <f>IFERROR(__xludf.DUMMYFUNCTION(" IF(Account!$F20&lt;&gt;"""", SPLIT(Account!$F20, "" ""), """")"),"Vente")</f>
        <v>Vente</v>
      </c>
      <c r="W20" s="56">
        <f>IFERROR(__xludf.DUMMYFUNCTION("""COMPUTED_VALUE"""),11.0)</f>
        <v>11</v>
      </c>
      <c r="X20" s="56" t="str">
        <f>IFERROR(__xludf.DUMMYFUNCTION("""COMPUTED_VALUE"""),"ETFS")</f>
        <v>ETFS</v>
      </c>
      <c r="Y20" s="56" t="str">
        <f>IFERROR(__xludf.DUMMYFUNCTION("""COMPUTED_VALUE"""),"PHYSICALGOLD@106,6")</f>
        <v>PHYSICALGOLD@106,6</v>
      </c>
      <c r="Z20" s="56" t="str">
        <f>IFERROR(__xludf.DUMMYFUNCTION("""COMPUTED_VALUE"""),"EUR")</f>
        <v>EUR</v>
      </c>
      <c r="AA20" s="56" t="str">
        <f>IFERROR(__xludf.DUMMYFUNCTION("""COMPUTED_VALUE"""),"(JE00B1VS3770)")</f>
        <v>(JE00B1VS3770)</v>
      </c>
      <c r="AB20" s="56"/>
      <c r="AC20" s="56"/>
      <c r="AD20" s="56"/>
      <c r="AE20" s="56"/>
      <c r="AF20" s="56"/>
      <c r="AG20" s="56"/>
      <c r="AH20" s="56"/>
      <c r="AI20" s="56"/>
      <c r="AJ20" s="56"/>
    </row>
    <row r="21">
      <c r="A21" s="11" t="s">
        <v>93</v>
      </c>
      <c r="B21" s="11" t="s">
        <v>134</v>
      </c>
      <c r="C21" s="11" t="s">
        <v>93</v>
      </c>
      <c r="D21" s="11" t="s">
        <v>95</v>
      </c>
      <c r="E21" s="11" t="s">
        <v>96</v>
      </c>
      <c r="F21" s="12" t="s">
        <v>135</v>
      </c>
      <c r="G21" s="11"/>
      <c r="H21" s="11" t="s">
        <v>54</v>
      </c>
      <c r="I21" s="11" t="s">
        <v>136</v>
      </c>
      <c r="J21" s="11" t="s">
        <v>54</v>
      </c>
      <c r="K21" s="11" t="s">
        <v>137</v>
      </c>
      <c r="L21" s="45">
        <f t="shared" si="1"/>
        <v>-9</v>
      </c>
      <c r="M21" s="46">
        <f>IFERROR(__xludf.DUMMYFUNCTION("IF(Account!$F21&lt;&gt;"""", VALUE(REGEXREPLACE($I21, ""\,"", ""."")), """")"),1502.55)</f>
        <v>1502.55</v>
      </c>
      <c r="N21" s="47">
        <f>IF(Account!$F21&lt;&gt;"", DATEVALUE(MID($A21,4,3) &amp; LEFT($A21,3) &amp; RIGHT($A21,4)) + TIMEVALUE($B21), "")</f>
        <v>43461.49722</v>
      </c>
      <c r="O21" s="48">
        <f>IF(Account!$F21&lt;&gt;"", DATEVALUE(MID($A21,4,3) &amp; LEFT($A21,3) &amp; RIGHT($A21,4)), "")</f>
        <v>43461</v>
      </c>
      <c r="P21" s="49" t="str">
        <f>IFERROR(VLOOKUP($Q21,Selection!$F:$G,2,false))</f>
        <v>Intermediate US bonds (7-10 year)</v>
      </c>
      <c r="Q21" s="50" t="str">
        <f>IF(AND($X21="change",$H21="EUR"),IF(AND($Z21="Crédit",$N21=$N22),$Q22,IF(AND($Z21="Débit",$N21=$N20),$Q20)),IF(OR(AND(OR($E21&lt;&gt;"",$L21=""),$M21&lt;&gt;0),$A21=""),IFERROR(VLOOKUP($E21,Selection!$E:$F,2,false)),IFERROR(VLOOKUP(SUBSTITUTE($I21,"-","",1),$K22:$Q1119,7,false),VLOOKUP($K21,$K22:$Q1119,7,false))))</f>
        <v>iShares USD Treasury Bond 7-10yr UCITS ETF USD Dist</v>
      </c>
      <c r="R21" s="49" t="str">
        <f t="shared" si="2"/>
        <v>SELL</v>
      </c>
      <c r="S21" s="51">
        <f t="shared" si="3"/>
        <v>-9</v>
      </c>
      <c r="T21" s="52">
        <f t="shared" si="4"/>
        <v>166.95</v>
      </c>
      <c r="U21" s="46">
        <f t="shared" si="5"/>
        <v>1502.55</v>
      </c>
      <c r="V21" s="53" t="str">
        <f>IFERROR(__xludf.DUMMYFUNCTION(" IF(Account!$F21&lt;&gt;"""", SPLIT(Account!$F21, "" ""), """")"),"Vente")</f>
        <v>Vente</v>
      </c>
      <c r="W21" s="56">
        <f>IFERROR(__xludf.DUMMYFUNCTION("""COMPUTED_VALUE"""),9.0)</f>
        <v>9</v>
      </c>
      <c r="X21" s="56" t="str">
        <f>IFERROR(__xludf.DUMMYFUNCTION("""COMPUTED_VALUE"""),"ISHARES")</f>
        <v>ISHARES</v>
      </c>
      <c r="Y21" s="56" t="str">
        <f>IFERROR(__xludf.DUMMYFUNCTION("""COMPUTED_VALUE"""),"US")</f>
        <v>US</v>
      </c>
      <c r="Z21" s="56" t="str">
        <f>IFERROR(__xludf.DUMMYFUNCTION("""COMPUTED_VALUE"""),"T")</f>
        <v>T</v>
      </c>
      <c r="AA21" s="56" t="str">
        <f>IFERROR(__xludf.DUMMYFUNCTION("""COMPUTED_VALUE"""),"7-10@166,95")</f>
        <v>7-10@166,95</v>
      </c>
      <c r="AB21" s="56" t="str">
        <f>IFERROR(__xludf.DUMMYFUNCTION("""COMPUTED_VALUE"""),"EUR")</f>
        <v>EUR</v>
      </c>
      <c r="AC21" s="56" t="str">
        <f>IFERROR(__xludf.DUMMYFUNCTION("""COMPUTED_VALUE"""),"(IE00B1FZS798)")</f>
        <v>(IE00B1FZS798)</v>
      </c>
      <c r="AD21" s="56"/>
      <c r="AE21" s="56"/>
      <c r="AF21" s="56"/>
      <c r="AG21" s="56"/>
      <c r="AH21" s="56"/>
      <c r="AI21" s="56"/>
      <c r="AJ21" s="56"/>
    </row>
    <row r="22">
      <c r="A22" s="11" t="s">
        <v>138</v>
      </c>
      <c r="B22" s="11" t="s">
        <v>139</v>
      </c>
      <c r="C22" s="11" t="s">
        <v>138</v>
      </c>
      <c r="D22" s="11" t="s">
        <v>95</v>
      </c>
      <c r="E22" s="11" t="s">
        <v>96</v>
      </c>
      <c r="F22" s="12" t="s">
        <v>140</v>
      </c>
      <c r="G22" s="11"/>
      <c r="H22" s="11" t="s">
        <v>54</v>
      </c>
      <c r="I22" s="11" t="s">
        <v>141</v>
      </c>
      <c r="J22" s="11" t="s">
        <v>54</v>
      </c>
      <c r="K22" s="11" t="s">
        <v>142</v>
      </c>
      <c r="L22" s="45">
        <f t="shared" si="1"/>
        <v>-10</v>
      </c>
      <c r="M22" s="46">
        <f>IFERROR(__xludf.DUMMYFUNCTION("IF(Account!$F22&lt;&gt;"""", VALUE(REGEXREPLACE($I22, ""\,"", ""."")), """")"),1665.5)</f>
        <v>1665.5</v>
      </c>
      <c r="N22" s="47">
        <f>IF(Account!$F22&lt;&gt;"", DATEVALUE(MID($A22,4,3) &amp; LEFT($A22,3) &amp; RIGHT($A22,4)) + TIMEVALUE($B22), "")</f>
        <v>43455.62153</v>
      </c>
      <c r="O22" s="48">
        <f>IF(Account!$F22&lt;&gt;"", DATEVALUE(MID($A22,4,3) &amp; LEFT($A22,3) &amp; RIGHT($A22,4)), "")</f>
        <v>43455</v>
      </c>
      <c r="P22" s="49" t="str">
        <f>IFERROR(VLOOKUP($Q22,Selection!$F:$G,2,false))</f>
        <v>Intermediate US bonds (7-10 year)</v>
      </c>
      <c r="Q22" s="50" t="str">
        <f>IF(AND($X22="change",$H22="EUR"),IF(AND($Z22="Crédit",$N22=$N23),$Q23,IF(AND($Z22="Débit",$N22=$N21),$Q21)),IF(OR(AND(OR($E22&lt;&gt;"",$L22=""),$M22&lt;&gt;0),$A22=""),IFERROR(VLOOKUP($E22,Selection!$E:$F,2,false)),IFERROR(VLOOKUP(SUBSTITUTE($I22,"-","",1),$K23:$Q1119,7,false),VLOOKUP($K22,$K23:$Q1119,7,false))))</f>
        <v>iShares USD Treasury Bond 7-10yr UCITS ETF USD Dist</v>
      </c>
      <c r="R22" s="49" t="str">
        <f t="shared" si="2"/>
        <v>SELL</v>
      </c>
      <c r="S22" s="51">
        <f t="shared" si="3"/>
        <v>-10</v>
      </c>
      <c r="T22" s="52">
        <f t="shared" si="4"/>
        <v>166.55</v>
      </c>
      <c r="U22" s="46">
        <f t="shared" si="5"/>
        <v>1665.5</v>
      </c>
      <c r="V22" s="53" t="str">
        <f>IFERROR(__xludf.DUMMYFUNCTION(" IF(Account!$F22&lt;&gt;"""", SPLIT(Account!$F22, "" ""), """")"),"Vente")</f>
        <v>Vente</v>
      </c>
      <c r="W22" s="56">
        <f>IFERROR(__xludf.DUMMYFUNCTION("""COMPUTED_VALUE"""),10.0)</f>
        <v>10</v>
      </c>
      <c r="X22" s="56" t="str">
        <f>IFERROR(__xludf.DUMMYFUNCTION("""COMPUTED_VALUE"""),"ISHARES")</f>
        <v>ISHARES</v>
      </c>
      <c r="Y22" s="56" t="str">
        <f>IFERROR(__xludf.DUMMYFUNCTION("""COMPUTED_VALUE"""),"US")</f>
        <v>US</v>
      </c>
      <c r="Z22" s="56" t="str">
        <f>IFERROR(__xludf.DUMMYFUNCTION("""COMPUTED_VALUE"""),"T")</f>
        <v>T</v>
      </c>
      <c r="AA22" s="56" t="str">
        <f>IFERROR(__xludf.DUMMYFUNCTION("""COMPUTED_VALUE"""),"7-10@166,55")</f>
        <v>7-10@166,55</v>
      </c>
      <c r="AB22" s="56" t="str">
        <f>IFERROR(__xludf.DUMMYFUNCTION("""COMPUTED_VALUE"""),"EUR")</f>
        <v>EUR</v>
      </c>
      <c r="AC22" s="56" t="str">
        <f>IFERROR(__xludf.DUMMYFUNCTION("""COMPUTED_VALUE"""),"(IE00B1FZS798)")</f>
        <v>(IE00B1FZS798)</v>
      </c>
      <c r="AD22" s="56"/>
      <c r="AE22" s="56"/>
      <c r="AF22" s="56"/>
      <c r="AG22" s="56"/>
      <c r="AH22" s="56"/>
      <c r="AI22" s="56"/>
      <c r="AJ22" s="56"/>
    </row>
    <row r="23">
      <c r="A23" s="11" t="s">
        <v>138</v>
      </c>
      <c r="B23" s="11" t="s">
        <v>143</v>
      </c>
      <c r="C23" s="11" t="s">
        <v>138</v>
      </c>
      <c r="D23" s="11" t="s">
        <v>129</v>
      </c>
      <c r="E23" s="11" t="s">
        <v>130</v>
      </c>
      <c r="F23" s="12" t="s">
        <v>144</v>
      </c>
      <c r="G23" s="11"/>
      <c r="H23" s="11" t="s">
        <v>54</v>
      </c>
      <c r="I23" s="11" t="s">
        <v>145</v>
      </c>
      <c r="J23" s="11" t="s">
        <v>54</v>
      </c>
      <c r="K23" s="11" t="s">
        <v>146</v>
      </c>
      <c r="L23" s="45">
        <f t="shared" si="1"/>
        <v>-10</v>
      </c>
      <c r="M23" s="46">
        <f>IFERROR(__xludf.DUMMYFUNCTION("IF(Account!$F23&lt;&gt;"""", VALUE(REGEXREPLACE($I23, ""\,"", ""."")), """")"),1056.5)</f>
        <v>1056.5</v>
      </c>
      <c r="N23" s="47">
        <f>IF(Account!$F23&lt;&gt;"", DATEVALUE(MID($A23,4,3) &amp; LEFT($A23,3) &amp; RIGHT($A23,4)) + TIMEVALUE($B23), "")</f>
        <v>43455.60139</v>
      </c>
      <c r="O23" s="48">
        <f>IF(Account!$F23&lt;&gt;"", DATEVALUE(MID($A23,4,3) &amp; LEFT($A23,3) &amp; RIGHT($A23,4)), "")</f>
        <v>43455</v>
      </c>
      <c r="P23" s="49" t="str">
        <f>IFERROR(VLOOKUP($Q23,Selection!$F:$G,2,false))</f>
        <v>Gold</v>
      </c>
      <c r="Q23" s="50" t="str">
        <f>IF(AND($X23="change",$H23="EUR"),IF(AND($Z23="Crédit",$N23=$N24),$Q24,IF(AND($Z23="Débit",$N23=$N22),$Q22)),IF(OR(AND(OR($E23&lt;&gt;"",$L23=""),$M23&lt;&gt;0),$A23=""),IFERROR(VLOOKUP($E23,Selection!$E:$F,2,false)),IFERROR(VLOOKUP(SUBSTITUTE($I23,"-","",1),$K24:$Q1119,7,false),VLOOKUP($K23,$K24:$Q1119,7,false))))</f>
        <v>ETFS Physical Gold</v>
      </c>
      <c r="R23" s="49" t="str">
        <f t="shared" si="2"/>
        <v>SELL</v>
      </c>
      <c r="S23" s="51">
        <f t="shared" si="3"/>
        <v>-10</v>
      </c>
      <c r="T23" s="52">
        <f t="shared" si="4"/>
        <v>105.65</v>
      </c>
      <c r="U23" s="46">
        <f t="shared" si="5"/>
        <v>1056.5</v>
      </c>
      <c r="V23" s="53" t="str">
        <f>IFERROR(__xludf.DUMMYFUNCTION(" IF(Account!$F23&lt;&gt;"""", SPLIT(Account!$F23, "" ""), """")"),"Vente")</f>
        <v>Vente</v>
      </c>
      <c r="W23" s="56">
        <f>IFERROR(__xludf.DUMMYFUNCTION("""COMPUTED_VALUE"""),10.0)</f>
        <v>10</v>
      </c>
      <c r="X23" s="56" t="str">
        <f>IFERROR(__xludf.DUMMYFUNCTION("""COMPUTED_VALUE"""),"ETFS")</f>
        <v>ETFS</v>
      </c>
      <c r="Y23" s="56" t="str">
        <f>IFERROR(__xludf.DUMMYFUNCTION("""COMPUTED_VALUE"""),"PHYSICALGOLD@105,65")</f>
        <v>PHYSICALGOLD@105,65</v>
      </c>
      <c r="Z23" s="56" t="str">
        <f>IFERROR(__xludf.DUMMYFUNCTION("""COMPUTED_VALUE"""),"EUR")</f>
        <v>EUR</v>
      </c>
      <c r="AA23" s="56" t="str">
        <f>IFERROR(__xludf.DUMMYFUNCTION("""COMPUTED_VALUE"""),"(JE00B1VS3770)")</f>
        <v>(JE00B1VS3770)</v>
      </c>
      <c r="AB23" s="56"/>
      <c r="AC23" s="56"/>
      <c r="AD23" s="56"/>
      <c r="AE23" s="56"/>
      <c r="AF23" s="56"/>
      <c r="AG23" s="56"/>
      <c r="AH23" s="56"/>
      <c r="AI23" s="56"/>
      <c r="AJ23" s="56"/>
    </row>
    <row r="24">
      <c r="A24" s="11" t="s">
        <v>147</v>
      </c>
      <c r="B24" s="11" t="s">
        <v>148</v>
      </c>
      <c r="C24" s="11" t="s">
        <v>147</v>
      </c>
      <c r="D24" s="11" t="s">
        <v>59</v>
      </c>
      <c r="E24" s="11" t="s">
        <v>60</v>
      </c>
      <c r="F24" s="12" t="s">
        <v>110</v>
      </c>
      <c r="G24" s="11"/>
      <c r="H24" s="11" t="s">
        <v>54</v>
      </c>
      <c r="I24" s="11" t="s">
        <v>121</v>
      </c>
      <c r="J24" s="11" t="s">
        <v>54</v>
      </c>
      <c r="K24" s="11" t="s">
        <v>149</v>
      </c>
      <c r="L24" s="45" t="str">
        <f t="shared" si="1"/>
        <v/>
      </c>
      <c r="M24" s="46">
        <f>IFERROR(__xludf.DUMMYFUNCTION("IF(Account!$F24&lt;&gt;"""", VALUE(REGEXREPLACE($I24, ""\,"", ""."")), """")"),-2.0)</f>
        <v>-2</v>
      </c>
      <c r="N24" s="47">
        <f>IF(Account!$F24&lt;&gt;"", DATEVALUE(MID($A24,4,3) &amp; LEFT($A24,3) &amp; RIGHT($A24,4)) + TIMEVALUE($B24), "")</f>
        <v>43454.61042</v>
      </c>
      <c r="O24" s="48">
        <f>IF(Account!$F24&lt;&gt;"", DATEVALUE(MID($A24,4,3) &amp; LEFT($A24,3) &amp; RIGHT($A24,4)), "")</f>
        <v>43454</v>
      </c>
      <c r="P24" s="49" t="str">
        <f>IFERROR(VLOOKUP($Q24,Selection!$F:$G,2,false))</f>
        <v>Stocks</v>
      </c>
      <c r="Q24" s="50" t="str">
        <f>IF(AND($X24="change",$H24="EUR"),IF(AND($Z24="Crédit",$N24=$N25),$Q25,IF(AND($Z24="Débit",$N24=$N23),$Q23)),IF(OR(AND(OR($E24&lt;&gt;"",$L24=""),$M24&lt;&gt;0),$A24=""),IFERROR(VLOOKUP($E24,Selection!$E:$F,2,false)),IFERROR(VLOOKUP(SUBSTITUTE($I24,"-","",1),$K25:$Q1119,7,false),VLOOKUP($K24,$K25:$Q1119,7,false))))</f>
        <v>Vanguard S&amp;P 500 UCITS ETF</v>
      </c>
      <c r="R24" s="49" t="str">
        <f t="shared" si="2"/>
        <v>COST</v>
      </c>
      <c r="S24" s="51" t="str">
        <f t="shared" si="3"/>
        <v/>
      </c>
      <c r="T24" s="52" t="str">
        <f t="shared" si="4"/>
        <v/>
      </c>
      <c r="U24" s="46">
        <f t="shared" si="5"/>
        <v>-2.83</v>
      </c>
      <c r="V24" s="53" t="str">
        <f>IFERROR(__xludf.DUMMYFUNCTION(" IF(Account!$F24&lt;&gt;"""", SPLIT(Account!$F24, "" ""), """")"),"Frais")</f>
        <v>Frais</v>
      </c>
      <c r="W24" s="56" t="str">
        <f>IFERROR(__xludf.DUMMYFUNCTION("""COMPUTED_VALUE"""),"de")</f>
        <v>de</v>
      </c>
      <c r="X24" s="56" t="str">
        <f>IFERROR(__xludf.DUMMYFUNCTION("""COMPUTED_VALUE"""),"courtage")</f>
        <v>courtage</v>
      </c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</row>
    <row r="25">
      <c r="A25" s="11" t="s">
        <v>147</v>
      </c>
      <c r="B25" s="11" t="s">
        <v>148</v>
      </c>
      <c r="C25" s="11" t="s">
        <v>147</v>
      </c>
      <c r="D25" s="11" t="s">
        <v>59</v>
      </c>
      <c r="E25" s="11" t="s">
        <v>60</v>
      </c>
      <c r="F25" s="12" t="s">
        <v>110</v>
      </c>
      <c r="G25" s="11"/>
      <c r="H25" s="11" t="s">
        <v>54</v>
      </c>
      <c r="I25" s="11" t="s">
        <v>150</v>
      </c>
      <c r="J25" s="11" t="s">
        <v>54</v>
      </c>
      <c r="K25" s="11" t="s">
        <v>151</v>
      </c>
      <c r="L25" s="45" t="str">
        <f t="shared" si="1"/>
        <v/>
      </c>
      <c r="M25" s="46">
        <f>IFERROR(__xludf.DUMMYFUNCTION("IF(Account!$F25&lt;&gt;"""", VALUE(REGEXREPLACE($I25, ""\,"", ""."")), """")"),-0.83)</f>
        <v>-0.83</v>
      </c>
      <c r="N25" s="47">
        <f>IF(Account!$F25&lt;&gt;"", DATEVALUE(MID($A25,4,3) &amp; LEFT($A25,3) &amp; RIGHT($A25,4)) + TIMEVALUE($B25), "")</f>
        <v>43454.61042</v>
      </c>
      <c r="O25" s="48">
        <f>IF(Account!$F25&lt;&gt;"", DATEVALUE(MID($A25,4,3) &amp; LEFT($A25,3) &amp; RIGHT($A25,4)), "")</f>
        <v>43454</v>
      </c>
      <c r="P25" s="49" t="str">
        <f>IFERROR(VLOOKUP($Q25,Selection!$F:$G,2,false))</f>
        <v>Stocks</v>
      </c>
      <c r="Q25" s="50" t="str">
        <f>IF(AND($X25="change",$H25="EUR"),IF(AND($Z25="Crédit",$N25=$N26),$Q26,IF(AND($Z25="Débit",$N25=$N24),$Q24)),IF(OR(AND(OR($E25&lt;&gt;"",$L25=""),$M25&lt;&gt;0),$A25=""),IFERROR(VLOOKUP($E25,Selection!$E:$F,2,false)),IFERROR(VLOOKUP(SUBSTITUTE($I25,"-","",1),$K26:$Q1119,7,false),VLOOKUP($K25,$K26:$Q1119,7,false))))</f>
        <v>Vanguard S&amp;P 500 UCITS ETF</v>
      </c>
      <c r="R25" s="49" t="str">
        <f t="shared" si="2"/>
        <v>COST</v>
      </c>
      <c r="S25" s="51" t="str">
        <f t="shared" si="3"/>
        <v/>
      </c>
      <c r="T25" s="52" t="str">
        <f t="shared" si="4"/>
        <v/>
      </c>
      <c r="U25" s="46">
        <f t="shared" si="5"/>
        <v>-2.83</v>
      </c>
      <c r="V25" s="53" t="str">
        <f>IFERROR(__xludf.DUMMYFUNCTION(" IF(Account!$F25&lt;&gt;"""", SPLIT(Account!$F25, "" ""), """")"),"Frais")</f>
        <v>Frais</v>
      </c>
      <c r="W25" s="56" t="str">
        <f>IFERROR(__xludf.DUMMYFUNCTION("""COMPUTED_VALUE"""),"de")</f>
        <v>de</v>
      </c>
      <c r="X25" s="56" t="str">
        <f>IFERROR(__xludf.DUMMYFUNCTION("""COMPUTED_VALUE"""),"courtage")</f>
        <v>courtage</v>
      </c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</row>
    <row r="26">
      <c r="A26" s="11" t="s">
        <v>147</v>
      </c>
      <c r="B26" s="11" t="s">
        <v>148</v>
      </c>
      <c r="C26" s="11" t="s">
        <v>147</v>
      </c>
      <c r="D26" s="11" t="s">
        <v>59</v>
      </c>
      <c r="E26" s="11" t="s">
        <v>60</v>
      </c>
      <c r="F26" s="12" t="s">
        <v>152</v>
      </c>
      <c r="G26" s="11"/>
      <c r="H26" s="11" t="s">
        <v>54</v>
      </c>
      <c r="I26" s="11" t="s">
        <v>153</v>
      </c>
      <c r="J26" s="11" t="s">
        <v>54</v>
      </c>
      <c r="K26" s="11" t="s">
        <v>154</v>
      </c>
      <c r="L26" s="45">
        <f t="shared" si="1"/>
        <v>100</v>
      </c>
      <c r="M26" s="46">
        <f>IFERROR(__xludf.DUMMYFUNCTION("IF(Account!$F26&lt;&gt;"""", VALUE(REGEXREPLACE($I26, ""\,"", ""."")), """")"),-4163.0)</f>
        <v>-4163</v>
      </c>
      <c r="N26" s="47">
        <f>IF(Account!$F26&lt;&gt;"", DATEVALUE(MID($A26,4,3) &amp; LEFT($A26,3) &amp; RIGHT($A26,4)) + TIMEVALUE($B26), "")</f>
        <v>43454.61042</v>
      </c>
      <c r="O26" s="48">
        <f>IF(Account!$F26&lt;&gt;"", DATEVALUE(MID($A26,4,3) &amp; LEFT($A26,3) &amp; RIGHT($A26,4)), "")</f>
        <v>43454</v>
      </c>
      <c r="P26" s="49" t="str">
        <f>IFERROR(VLOOKUP($Q26,Selection!$F:$G,2,false))</f>
        <v>Stocks</v>
      </c>
      <c r="Q26" s="50" t="str">
        <f>IF(AND($X26="change",$H26="EUR"),IF(AND($Z26="Crédit",$N26=$N27),$Q27,IF(AND($Z26="Débit",$N26=$N25),$Q25)),IF(OR(AND(OR($E26&lt;&gt;"",$L26=""),$M26&lt;&gt;0),$A26=""),IFERROR(VLOOKUP($E26,Selection!$E:$F,2,false)),IFERROR(VLOOKUP(SUBSTITUTE($I26,"-","",1),$K27:$Q1119,7,false),VLOOKUP($K26,$K27:$Q1119,7,false))))</f>
        <v>Vanguard S&amp;P 500 UCITS ETF</v>
      </c>
      <c r="R26" s="49" t="str">
        <f t="shared" si="2"/>
        <v>BUY</v>
      </c>
      <c r="S26" s="51">
        <f t="shared" si="3"/>
        <v>100</v>
      </c>
      <c r="T26" s="52">
        <f t="shared" si="4"/>
        <v>41.63</v>
      </c>
      <c r="U26" s="46">
        <f t="shared" si="5"/>
        <v>-4163</v>
      </c>
      <c r="V26" s="53" t="str">
        <f>IFERROR(__xludf.DUMMYFUNCTION(" IF(Account!$F26&lt;&gt;"""", SPLIT(Account!$F26, "" ""), """")"),"Achat")</f>
        <v>Achat</v>
      </c>
      <c r="W26" s="56">
        <f>IFERROR(__xludf.DUMMYFUNCTION("""COMPUTED_VALUE"""),100.0)</f>
        <v>100</v>
      </c>
      <c r="X26" s="56" t="str">
        <f>IFERROR(__xludf.DUMMYFUNCTION("""COMPUTED_VALUE"""),"VANGUARD")</f>
        <v>VANGUARD</v>
      </c>
      <c r="Y26" s="56" t="str">
        <f>IFERROR(__xludf.DUMMYFUNCTION("""COMPUTED_VALUE"""),"S&amp;P500@41,63")</f>
        <v>S&amp;P500@41,63</v>
      </c>
      <c r="Z26" s="56" t="str">
        <f>IFERROR(__xludf.DUMMYFUNCTION("""COMPUTED_VALUE"""),"EUR")</f>
        <v>EUR</v>
      </c>
      <c r="AA26" s="56" t="str">
        <f>IFERROR(__xludf.DUMMYFUNCTION("""COMPUTED_VALUE"""),"(IE00B3XXRP09)")</f>
        <v>(IE00B3XXRP09)</v>
      </c>
      <c r="AB26" s="56"/>
      <c r="AC26" s="56"/>
      <c r="AD26" s="56"/>
      <c r="AE26" s="56"/>
      <c r="AF26" s="56"/>
      <c r="AG26" s="56"/>
      <c r="AH26" s="56"/>
      <c r="AI26" s="56"/>
      <c r="AJ26" s="56"/>
    </row>
    <row r="27">
      <c r="A27" s="11" t="s">
        <v>147</v>
      </c>
      <c r="B27" s="11" t="s">
        <v>155</v>
      </c>
      <c r="C27" s="11" t="s">
        <v>147</v>
      </c>
      <c r="D27" s="11" t="s">
        <v>88</v>
      </c>
      <c r="E27" s="11" t="s">
        <v>89</v>
      </c>
      <c r="F27" s="12" t="s">
        <v>80</v>
      </c>
      <c r="G27" s="11" t="s">
        <v>156</v>
      </c>
      <c r="H27" s="11" t="s">
        <v>82</v>
      </c>
      <c r="I27" s="11" t="s">
        <v>157</v>
      </c>
      <c r="J27" s="11" t="s">
        <v>82</v>
      </c>
      <c r="K27" s="11" t="s">
        <v>107</v>
      </c>
      <c r="L27" s="45">
        <f t="shared" si="1"/>
        <v>0</v>
      </c>
      <c r="M27" s="46">
        <f>IFERROR(__xludf.DUMMYFUNCTION("IF(Account!$F27&lt;&gt;"""", VALUE(REGEXREPLACE($I27, ""\,"", ""."")), """")"),-2480.1)</f>
        <v>-2480.1</v>
      </c>
      <c r="N27" s="47">
        <f>IF(Account!$F27&lt;&gt;"", DATEVALUE(MID($A27,4,3) &amp; LEFT($A27,3) &amp; RIGHT($A27,4)) + TIMEVALUE($B27), "")</f>
        <v>43454.43958</v>
      </c>
      <c r="O27" s="48">
        <f>IF(Account!$F27&lt;&gt;"", DATEVALUE(MID($A27,4,3) &amp; LEFT($A27,3) &amp; RIGHT($A27,4)), "")</f>
        <v>43454</v>
      </c>
      <c r="P27" s="49" t="str">
        <f>IFERROR(VLOOKUP($Q27,Selection!$F:$G,2,false))</f>
        <v>Long term US bonds (20-25 year)</v>
      </c>
      <c r="Q27" s="50" t="str">
        <f>IF(AND($X27="change",$H27="EUR"),IF(AND($Z27="Crédit",$N27=$N28),$Q28,IF(AND($Z27="Débit",$N27=$N26),$Q26)),IF(OR(AND(OR($E27&lt;&gt;"",$L27=""),$M27&lt;&gt;0),$A27=""),IFERROR(VLOOKUP($E27,Selection!$E:$F,2,false)),IFERROR(VLOOKUP(SUBSTITUTE($I27,"-","",1),$K28:$Q1119,7,false),VLOOKUP($K27,$K28:$Q1119,7,false))))</f>
        <v>iShares USD Treasury Bond 20+yr UCITS ETF</v>
      </c>
      <c r="R27" s="49" t="str">
        <f t="shared" si="2"/>
        <v>SELL</v>
      </c>
      <c r="S27" s="51">
        <f t="shared" si="3"/>
        <v>-544</v>
      </c>
      <c r="T27" s="52">
        <f t="shared" si="4"/>
        <v>3.971029412</v>
      </c>
      <c r="U27" s="46">
        <f t="shared" si="5"/>
        <v>2160.24</v>
      </c>
      <c r="V27" s="53" t="str">
        <f>IFERROR(__xludf.DUMMYFUNCTION(" IF(Account!$F27&lt;&gt;"""", SPLIT(Account!$F27, "" ""), """")"),"Opération")</f>
        <v>Opération</v>
      </c>
      <c r="W27" s="56" t="str">
        <f>IFERROR(__xludf.DUMMYFUNCTION("""COMPUTED_VALUE"""),"de")</f>
        <v>de</v>
      </c>
      <c r="X27" s="56" t="str">
        <f>IFERROR(__xludf.DUMMYFUNCTION("""COMPUTED_VALUE"""),"change")</f>
        <v>change</v>
      </c>
      <c r="Y27" s="56" t="str">
        <f>IFERROR(__xludf.DUMMYFUNCTION("""COMPUTED_VALUE"""),"-")</f>
        <v>-</v>
      </c>
      <c r="Z27" s="56" t="str">
        <f>IFERROR(__xludf.DUMMYFUNCTION("""COMPUTED_VALUE"""),"Débit")</f>
        <v>Débit</v>
      </c>
      <c r="AA27" s="56"/>
      <c r="AB27" s="56"/>
      <c r="AC27" s="56"/>
      <c r="AD27" s="56"/>
      <c r="AE27" s="56"/>
      <c r="AF27" s="56"/>
      <c r="AG27" s="56"/>
      <c r="AH27" s="56"/>
      <c r="AI27" s="56"/>
      <c r="AJ27" s="56"/>
    </row>
    <row r="28">
      <c r="A28" s="11" t="s">
        <v>147</v>
      </c>
      <c r="B28" s="11" t="s">
        <v>155</v>
      </c>
      <c r="C28" s="11" t="s">
        <v>147</v>
      </c>
      <c r="D28" s="11" t="s">
        <v>88</v>
      </c>
      <c r="E28" s="11" t="s">
        <v>89</v>
      </c>
      <c r="F28" s="12" t="s">
        <v>77</v>
      </c>
      <c r="G28" s="11"/>
      <c r="H28" s="11" t="s">
        <v>54</v>
      </c>
      <c r="I28" s="11" t="s">
        <v>158</v>
      </c>
      <c r="J28" s="11" t="s">
        <v>54</v>
      </c>
      <c r="K28" s="11" t="s">
        <v>159</v>
      </c>
      <c r="L28" s="45">
        <f t="shared" si="1"/>
        <v>0</v>
      </c>
      <c r="M28" s="46">
        <f>IFERROR(__xludf.DUMMYFUNCTION("IF(Account!$F28&lt;&gt;"""", VALUE(REGEXREPLACE($I28, ""\,"", ""."")), """")"),2160.24)</f>
        <v>2160.24</v>
      </c>
      <c r="N28" s="47">
        <f>IF(Account!$F28&lt;&gt;"", DATEVALUE(MID($A28,4,3) &amp; LEFT($A28,3) &amp; RIGHT($A28,4)) + TIMEVALUE($B28), "")</f>
        <v>43454.43958</v>
      </c>
      <c r="O28" s="48">
        <f>IF(Account!$F28&lt;&gt;"", DATEVALUE(MID($A28,4,3) &amp; LEFT($A28,3) &amp; RIGHT($A28,4)), "")</f>
        <v>43454</v>
      </c>
      <c r="P28" s="49" t="str">
        <f>IFERROR(VLOOKUP($Q28,Selection!$F:$G,2,false))</f>
        <v>Long term US bonds (20-25 year)</v>
      </c>
      <c r="Q28" s="50" t="str">
        <f>IF(AND($X28="change",$H28="EUR"),IF(AND($Z28="Crédit",$N28=$N29),$Q29,IF(AND($Z28="Débit",$N28=$N27),$Q27)),IF(OR(AND(OR($E28&lt;&gt;"",$L28=""),$M28&lt;&gt;0),$A28=""),IFERROR(VLOOKUP($E28,Selection!$E:$F,2,false)),IFERROR(VLOOKUP(SUBSTITUTE($I28,"-","",1),$K29:$Q1119,7,false),VLOOKUP($K28,$K29:$Q1119,7,false))))</f>
        <v>iShares USD Treasury Bond 20+yr UCITS ETF</v>
      </c>
      <c r="R28" s="49" t="str">
        <f t="shared" si="2"/>
        <v>SELL</v>
      </c>
      <c r="S28" s="51">
        <f t="shared" si="3"/>
        <v>-544</v>
      </c>
      <c r="T28" s="52">
        <f t="shared" si="4"/>
        <v>3.971029412</v>
      </c>
      <c r="U28" s="46">
        <f t="shared" si="5"/>
        <v>2160.24</v>
      </c>
      <c r="V28" s="53" t="str">
        <f>IFERROR(__xludf.DUMMYFUNCTION(" IF(Account!$F28&lt;&gt;"""", SPLIT(Account!$F28, "" ""), """")"),"Operation")</f>
        <v>Operation</v>
      </c>
      <c r="W28" s="56" t="str">
        <f>IFERROR(__xludf.DUMMYFUNCTION("""COMPUTED_VALUE"""),"de")</f>
        <v>de</v>
      </c>
      <c r="X28" s="56" t="str">
        <f>IFERROR(__xludf.DUMMYFUNCTION("""COMPUTED_VALUE"""),"change")</f>
        <v>change</v>
      </c>
      <c r="Y28" s="56" t="str">
        <f>IFERROR(__xludf.DUMMYFUNCTION("""COMPUTED_VALUE"""),"-")</f>
        <v>-</v>
      </c>
      <c r="Z28" s="56" t="str">
        <f>IFERROR(__xludf.DUMMYFUNCTION("""COMPUTED_VALUE"""),"Crédit")</f>
        <v>Crédit</v>
      </c>
      <c r="AA28" s="56"/>
      <c r="AB28" s="56"/>
      <c r="AC28" s="56"/>
      <c r="AD28" s="56"/>
      <c r="AE28" s="56"/>
      <c r="AF28" s="56"/>
      <c r="AG28" s="56"/>
      <c r="AH28" s="56"/>
      <c r="AI28" s="56"/>
      <c r="AJ28" s="56"/>
    </row>
    <row r="29">
      <c r="A29" s="11" t="s">
        <v>147</v>
      </c>
      <c r="B29" s="11" t="s">
        <v>155</v>
      </c>
      <c r="C29" s="11" t="s">
        <v>147</v>
      </c>
      <c r="D29" s="11" t="s">
        <v>88</v>
      </c>
      <c r="E29" s="11" t="s">
        <v>89</v>
      </c>
      <c r="F29" s="12" t="s">
        <v>110</v>
      </c>
      <c r="G29" s="11"/>
      <c r="H29" s="11" t="s">
        <v>54</v>
      </c>
      <c r="I29" s="11" t="s">
        <v>121</v>
      </c>
      <c r="J29" s="11" t="s">
        <v>54</v>
      </c>
      <c r="K29" s="11" t="s">
        <v>160</v>
      </c>
      <c r="L29" s="45" t="str">
        <f t="shared" si="1"/>
        <v/>
      </c>
      <c r="M29" s="46">
        <f>IFERROR(__xludf.DUMMYFUNCTION("IF(Account!$F29&lt;&gt;"""", VALUE(REGEXREPLACE($I29, ""\,"", ""."")), """")"),-2.0)</f>
        <v>-2</v>
      </c>
      <c r="N29" s="47">
        <f>IF(Account!$F29&lt;&gt;"", DATEVALUE(MID($A29,4,3) &amp; LEFT($A29,3) &amp; RIGHT($A29,4)) + TIMEVALUE($B29), "")</f>
        <v>43454.43958</v>
      </c>
      <c r="O29" s="48">
        <f>IF(Account!$F29&lt;&gt;"", DATEVALUE(MID($A29,4,3) &amp; LEFT($A29,3) &amp; RIGHT($A29,4)), "")</f>
        <v>43454</v>
      </c>
      <c r="P29" s="49" t="str">
        <f>IFERROR(VLOOKUP($Q29,Selection!$F:$G,2,false))</f>
        <v>Long term US bonds (20-25 year)</v>
      </c>
      <c r="Q29" s="50" t="str">
        <f>IF(AND($X29="change",$H29="EUR"),IF(AND($Z29="Crédit",$N29=$N30),$Q30,IF(AND($Z29="Débit",$N29=$N28),$Q28)),IF(OR(AND(OR($E29&lt;&gt;"",$L29=""),$M29&lt;&gt;0),$A29=""),IFERROR(VLOOKUP($E29,Selection!$E:$F,2,false)),IFERROR(VLOOKUP(SUBSTITUTE($I29,"-","",1),$K30:$Q1119,7,false),VLOOKUP($K29,$K30:$Q1119,7,false))))</f>
        <v>iShares USD Treasury Bond 20+yr UCITS ETF</v>
      </c>
      <c r="R29" s="49" t="str">
        <f t="shared" si="2"/>
        <v>COST</v>
      </c>
      <c r="S29" s="51" t="str">
        <f t="shared" si="3"/>
        <v/>
      </c>
      <c r="T29" s="52" t="str">
        <f t="shared" si="4"/>
        <v/>
      </c>
      <c r="U29" s="46">
        <f t="shared" si="5"/>
        <v>-2.43</v>
      </c>
      <c r="V29" s="53" t="str">
        <f>IFERROR(__xludf.DUMMYFUNCTION(" IF(Account!$F29&lt;&gt;"""", SPLIT(Account!$F29, "" ""), """")"),"Frais")</f>
        <v>Frais</v>
      </c>
      <c r="W29" s="56" t="str">
        <f>IFERROR(__xludf.DUMMYFUNCTION("""COMPUTED_VALUE"""),"de")</f>
        <v>de</v>
      </c>
      <c r="X29" s="56" t="str">
        <f>IFERROR(__xludf.DUMMYFUNCTION("""COMPUTED_VALUE"""),"courtage")</f>
        <v>courtage</v>
      </c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</row>
    <row r="30">
      <c r="A30" s="11" t="s">
        <v>147</v>
      </c>
      <c r="B30" s="11" t="s">
        <v>155</v>
      </c>
      <c r="C30" s="11" t="s">
        <v>147</v>
      </c>
      <c r="D30" s="11" t="s">
        <v>88</v>
      </c>
      <c r="E30" s="11" t="s">
        <v>89</v>
      </c>
      <c r="F30" s="12" t="s">
        <v>110</v>
      </c>
      <c r="G30" s="11"/>
      <c r="H30" s="11" t="s">
        <v>54</v>
      </c>
      <c r="I30" s="11" t="s">
        <v>166</v>
      </c>
      <c r="J30" s="11" t="s">
        <v>54</v>
      </c>
      <c r="K30" s="11" t="s">
        <v>167</v>
      </c>
      <c r="L30" s="45" t="str">
        <f t="shared" si="1"/>
        <v/>
      </c>
      <c r="M30" s="46">
        <f>IFERROR(__xludf.DUMMYFUNCTION("IF(Account!$F30&lt;&gt;"""", VALUE(REGEXREPLACE($I30, ""\,"", ""."")), """")"),-0.43)</f>
        <v>-0.43</v>
      </c>
      <c r="N30" s="47">
        <f>IF(Account!$F30&lt;&gt;"", DATEVALUE(MID($A30,4,3) &amp; LEFT($A30,3) &amp; RIGHT($A30,4)) + TIMEVALUE($B30), "")</f>
        <v>43454.43958</v>
      </c>
      <c r="O30" s="48">
        <f>IF(Account!$F30&lt;&gt;"", DATEVALUE(MID($A30,4,3) &amp; LEFT($A30,3) &amp; RIGHT($A30,4)), "")</f>
        <v>43454</v>
      </c>
      <c r="P30" s="49" t="str">
        <f>IFERROR(VLOOKUP($Q30,Selection!$F:$G,2,false))</f>
        <v>Long term US bonds (20-25 year)</v>
      </c>
      <c r="Q30" s="50" t="str">
        <f>IF(AND($X30="change",$H30="EUR"),IF(AND($Z30="Crédit",$N30=$N31),$Q31,IF(AND($Z30="Débit",$N30=$N29),$Q29)),IF(OR(AND(OR($E30&lt;&gt;"",$L30=""),$M30&lt;&gt;0),$A30=""),IFERROR(VLOOKUP($E30,Selection!$E:$F,2,false)),IFERROR(VLOOKUP(SUBSTITUTE($I30,"-","",1),$K31:$Q1119,7,false),VLOOKUP($K30,$K31:$Q1119,7,false))))</f>
        <v>iShares USD Treasury Bond 20+yr UCITS ETF</v>
      </c>
      <c r="R30" s="49" t="str">
        <f t="shared" si="2"/>
        <v>COST</v>
      </c>
      <c r="S30" s="51" t="str">
        <f t="shared" si="3"/>
        <v/>
      </c>
      <c r="T30" s="52" t="str">
        <f t="shared" si="4"/>
        <v/>
      </c>
      <c r="U30" s="46">
        <f t="shared" si="5"/>
        <v>-2.43</v>
      </c>
      <c r="V30" s="53" t="str">
        <f>IFERROR(__xludf.DUMMYFUNCTION(" IF(Account!$F30&lt;&gt;"""", SPLIT(Account!$F30, "" ""), """")"),"Frais")</f>
        <v>Frais</v>
      </c>
      <c r="W30" s="56" t="str">
        <f>IFERROR(__xludf.DUMMYFUNCTION("""COMPUTED_VALUE"""),"de")</f>
        <v>de</v>
      </c>
      <c r="X30" s="56" t="str">
        <f>IFERROR(__xludf.DUMMYFUNCTION("""COMPUTED_VALUE"""),"courtage")</f>
        <v>courtage</v>
      </c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</row>
    <row r="31">
      <c r="A31" s="11" t="s">
        <v>147</v>
      </c>
      <c r="B31" s="11" t="s">
        <v>155</v>
      </c>
      <c r="C31" s="11" t="s">
        <v>147</v>
      </c>
      <c r="D31" s="11" t="s">
        <v>88</v>
      </c>
      <c r="E31" s="11" t="s">
        <v>89</v>
      </c>
      <c r="F31" s="12" t="s">
        <v>176</v>
      </c>
      <c r="G31" s="11"/>
      <c r="H31" s="11" t="s">
        <v>82</v>
      </c>
      <c r="I31" s="11" t="s">
        <v>177</v>
      </c>
      <c r="J31" s="11" t="s">
        <v>82</v>
      </c>
      <c r="K31" s="11" t="s">
        <v>178</v>
      </c>
      <c r="L31" s="45">
        <f t="shared" si="1"/>
        <v>-544</v>
      </c>
      <c r="M31" s="46">
        <f>IFERROR(__xludf.DUMMYFUNCTION("IF(Account!$F31&lt;&gt;"""", VALUE(REGEXREPLACE($I31, ""\,"", ""."")), """")"),2480.1)</f>
        <v>2480.1</v>
      </c>
      <c r="N31" s="47">
        <f>IF(Account!$F31&lt;&gt;"", DATEVALUE(MID($A31,4,3) &amp; LEFT($A31,3) &amp; RIGHT($A31,4)) + TIMEVALUE($B31), "")</f>
        <v>43454.43958</v>
      </c>
      <c r="O31" s="48">
        <f>IF(Account!$F31&lt;&gt;"", DATEVALUE(MID($A31,4,3) &amp; LEFT($A31,3) &amp; RIGHT($A31,4)), "")</f>
        <v>43454</v>
      </c>
      <c r="P31" s="49" t="str">
        <f>IFERROR(VLOOKUP($Q31,Selection!$F:$G,2,false))</f>
        <v>Long term US bonds (20-25 year)</v>
      </c>
      <c r="Q31" s="50" t="str">
        <f>IF(AND($X31="change",$H31="EUR"),IF(AND($Z31="Crédit",$N31=$N32),$Q32,IF(AND($Z31="Débit",$N31=$N30),$Q30)),IF(OR(AND(OR($E31&lt;&gt;"",$L31=""),$M31&lt;&gt;0),$A31=""),IFERROR(VLOOKUP($E31,Selection!$E:$F,2,false)),IFERROR(VLOOKUP(SUBSTITUTE($I31,"-","",1),$K32:$Q1119,7,false),VLOOKUP($K31,$K32:$Q1119,7,false))))</f>
        <v>iShares USD Treasury Bond 20+yr UCITS ETF</v>
      </c>
      <c r="R31" s="49" t="str">
        <f t="shared" si="2"/>
        <v>SELL</v>
      </c>
      <c r="S31" s="51">
        <f t="shared" si="3"/>
        <v>-544</v>
      </c>
      <c r="T31" s="52">
        <f t="shared" si="4"/>
        <v>3.971029412</v>
      </c>
      <c r="U31" s="46">
        <f t="shared" si="5"/>
        <v>2160.24</v>
      </c>
      <c r="V31" s="53" t="str">
        <f>IFERROR(__xludf.DUMMYFUNCTION(" IF(Account!$F31&lt;&gt;"""", SPLIT(Account!$F31, "" ""), """")"),"Vente")</f>
        <v>Vente</v>
      </c>
      <c r="W31" s="56">
        <f>IFERROR(__xludf.DUMMYFUNCTION("""COMPUTED_VALUE"""),544.0)</f>
        <v>544</v>
      </c>
      <c r="X31" s="56" t="str">
        <f>IFERROR(__xludf.DUMMYFUNCTION("""COMPUTED_VALUE"""),"ISH")</f>
        <v>ISH</v>
      </c>
      <c r="Y31" s="56" t="str">
        <f>IFERROR(__xludf.DUMMYFUNCTION("""COMPUTED_VALUE"""),"$")</f>
        <v>$</v>
      </c>
      <c r="Z31" s="56" t="str">
        <f>IFERROR(__xludf.DUMMYFUNCTION("""COMPUTED_VALUE"""),"TRESU")</f>
        <v>TRESU</v>
      </c>
      <c r="AA31" s="56" t="str">
        <f>IFERROR(__xludf.DUMMYFUNCTION("""COMPUTED_VALUE"""),"20+@4,559")</f>
        <v>20+@4,559</v>
      </c>
      <c r="AB31" s="56" t="str">
        <f>IFERROR(__xludf.DUMMYFUNCTION("""COMPUTED_VALUE"""),"USD")</f>
        <v>USD</v>
      </c>
      <c r="AC31" s="56" t="str">
        <f>IFERROR(__xludf.DUMMYFUNCTION("""COMPUTED_VALUE"""),"(IE00BSKRJZ44)")</f>
        <v>(IE00BSKRJZ44)</v>
      </c>
      <c r="AD31" s="56"/>
      <c r="AE31" s="56"/>
      <c r="AF31" s="56"/>
      <c r="AG31" s="56"/>
      <c r="AH31" s="56"/>
      <c r="AI31" s="56"/>
      <c r="AJ31" s="56"/>
    </row>
    <row r="32">
      <c r="A32" s="11" t="s">
        <v>147</v>
      </c>
      <c r="B32" s="11" t="s">
        <v>189</v>
      </c>
      <c r="C32" s="11" t="s">
        <v>147</v>
      </c>
      <c r="D32" s="11" t="s">
        <v>88</v>
      </c>
      <c r="E32" s="11" t="s">
        <v>89</v>
      </c>
      <c r="F32" s="12" t="s">
        <v>80</v>
      </c>
      <c r="G32" s="11" t="s">
        <v>190</v>
      </c>
      <c r="H32" s="11" t="s">
        <v>82</v>
      </c>
      <c r="I32" s="11" t="s">
        <v>191</v>
      </c>
      <c r="J32" s="11" t="s">
        <v>82</v>
      </c>
      <c r="K32" s="11" t="s">
        <v>192</v>
      </c>
      <c r="L32" s="45">
        <f t="shared" si="1"/>
        <v>0</v>
      </c>
      <c r="M32" s="46">
        <f>IFERROR(__xludf.DUMMYFUNCTION("IF(Account!$F32&lt;&gt;"""", VALUE(REGEXREPLACE($I32, ""\,"", ""."")), """")"),-8022.96)</f>
        <v>-8022.96</v>
      </c>
      <c r="N32" s="47">
        <f>IF(Account!$F32&lt;&gt;"", DATEVALUE(MID($A32,4,3) &amp; LEFT($A32,3) &amp; RIGHT($A32,4)) + TIMEVALUE($B32), "")</f>
        <v>43454.41736</v>
      </c>
      <c r="O32" s="48">
        <f>IF(Account!$F32&lt;&gt;"", DATEVALUE(MID($A32,4,3) &amp; LEFT($A32,3) &amp; RIGHT($A32,4)), "")</f>
        <v>43454</v>
      </c>
      <c r="P32" s="49" t="str">
        <f>IFERROR(VLOOKUP($Q32,Selection!$F:$G,2,false))</f>
        <v>Long term US bonds (20-25 year)</v>
      </c>
      <c r="Q32" s="50" t="str">
        <f>IF(AND($X32="change",$H32="EUR"),IF(AND($Z32="Crédit",$N32=$N33),$Q33,IF(AND($Z32="Débit",$N32=$N31),$Q31)),IF(OR(AND(OR($E32&lt;&gt;"",$L32=""),$M32&lt;&gt;0),$A32=""),IFERROR(VLOOKUP($E32,Selection!$E:$F,2,false)),IFERROR(VLOOKUP(SUBSTITUTE($I32,"-","",1),$K33:$Q1119,7,false),VLOOKUP($K32,$K33:$Q1119,7,false))))</f>
        <v>iShares USD Treasury Bond 20+yr UCITS ETF</v>
      </c>
      <c r="R32" s="49" t="str">
        <f t="shared" si="2"/>
        <v>SELL</v>
      </c>
      <c r="S32" s="51">
        <f t="shared" si="3"/>
        <v>-1760</v>
      </c>
      <c r="T32" s="52">
        <f t="shared" si="4"/>
        <v>3.984704545</v>
      </c>
      <c r="U32" s="46">
        <f t="shared" si="5"/>
        <v>7013.08</v>
      </c>
      <c r="V32" s="53" t="str">
        <f>IFERROR(__xludf.DUMMYFUNCTION(" IF(Account!$F32&lt;&gt;"""", SPLIT(Account!$F32, "" ""), """")"),"Opération")</f>
        <v>Opération</v>
      </c>
      <c r="W32" s="56" t="str">
        <f>IFERROR(__xludf.DUMMYFUNCTION("""COMPUTED_VALUE"""),"de")</f>
        <v>de</v>
      </c>
      <c r="X32" s="56" t="str">
        <f>IFERROR(__xludf.DUMMYFUNCTION("""COMPUTED_VALUE"""),"change")</f>
        <v>change</v>
      </c>
      <c r="Y32" s="56" t="str">
        <f>IFERROR(__xludf.DUMMYFUNCTION("""COMPUTED_VALUE"""),"-")</f>
        <v>-</v>
      </c>
      <c r="Z32" s="56" t="str">
        <f>IFERROR(__xludf.DUMMYFUNCTION("""COMPUTED_VALUE"""),"Débit")</f>
        <v>Débit</v>
      </c>
      <c r="AA32" s="56"/>
      <c r="AB32" s="56"/>
      <c r="AC32" s="56"/>
      <c r="AD32" s="56"/>
      <c r="AE32" s="56"/>
      <c r="AF32" s="56"/>
      <c r="AG32" s="56"/>
      <c r="AH32" s="56"/>
      <c r="AI32" s="56"/>
      <c r="AJ32" s="56"/>
    </row>
    <row r="33">
      <c r="A33" s="11" t="s">
        <v>147</v>
      </c>
      <c r="B33" s="11" t="s">
        <v>189</v>
      </c>
      <c r="C33" s="11" t="s">
        <v>147</v>
      </c>
      <c r="D33" s="11" t="s">
        <v>88</v>
      </c>
      <c r="E33" s="11" t="s">
        <v>89</v>
      </c>
      <c r="F33" s="12" t="s">
        <v>77</v>
      </c>
      <c r="G33" s="11"/>
      <c r="H33" s="11" t="s">
        <v>54</v>
      </c>
      <c r="I33" s="11" t="s">
        <v>201</v>
      </c>
      <c r="J33" s="11" t="s">
        <v>54</v>
      </c>
      <c r="K33" s="11" t="s">
        <v>202</v>
      </c>
      <c r="L33" s="45">
        <f t="shared" si="1"/>
        <v>0</v>
      </c>
      <c r="M33" s="46">
        <f>IFERROR(__xludf.DUMMYFUNCTION("IF(Account!$F33&lt;&gt;"""", VALUE(REGEXREPLACE($I33, ""\,"", ""."")), """")"),7013.08)</f>
        <v>7013.08</v>
      </c>
      <c r="N33" s="47">
        <f>IF(Account!$F33&lt;&gt;"", DATEVALUE(MID($A33,4,3) &amp; LEFT($A33,3) &amp; RIGHT($A33,4)) + TIMEVALUE($B33), "")</f>
        <v>43454.41736</v>
      </c>
      <c r="O33" s="48">
        <f>IF(Account!$F33&lt;&gt;"", DATEVALUE(MID($A33,4,3) &amp; LEFT($A33,3) &amp; RIGHT($A33,4)), "")</f>
        <v>43454</v>
      </c>
      <c r="P33" s="49" t="str">
        <f>IFERROR(VLOOKUP($Q33,Selection!$F:$G,2,false))</f>
        <v>Long term US bonds (20-25 year)</v>
      </c>
      <c r="Q33" s="50" t="str">
        <f>IF(AND($X33="change",$H33="EUR"),IF(AND($Z33="Crédit",$N33=$N34),$Q34,IF(AND($Z33="Débit",$N33=$N32),$Q32)),IF(OR(AND(OR($E33&lt;&gt;"",$L33=""),$M33&lt;&gt;0),$A33=""),IFERROR(VLOOKUP($E33,Selection!$E:$F,2,false)),IFERROR(VLOOKUP(SUBSTITUTE($I33,"-","",1),$K34:$Q1119,7,false),VLOOKUP($K33,$K34:$Q1119,7,false))))</f>
        <v>iShares USD Treasury Bond 20+yr UCITS ETF</v>
      </c>
      <c r="R33" s="49" t="str">
        <f t="shared" si="2"/>
        <v>SELL</v>
      </c>
      <c r="S33" s="51">
        <f t="shared" si="3"/>
        <v>-1760</v>
      </c>
      <c r="T33" s="52">
        <f t="shared" si="4"/>
        <v>3.984704545</v>
      </c>
      <c r="U33" s="46">
        <f t="shared" si="5"/>
        <v>7013.08</v>
      </c>
      <c r="V33" s="53" t="str">
        <f>IFERROR(__xludf.DUMMYFUNCTION(" IF(Account!$F33&lt;&gt;"""", SPLIT(Account!$F33, "" ""), """")"),"Operation")</f>
        <v>Operation</v>
      </c>
      <c r="W33" s="56" t="str">
        <f>IFERROR(__xludf.DUMMYFUNCTION("""COMPUTED_VALUE"""),"de")</f>
        <v>de</v>
      </c>
      <c r="X33" s="56" t="str">
        <f>IFERROR(__xludf.DUMMYFUNCTION("""COMPUTED_VALUE"""),"change")</f>
        <v>change</v>
      </c>
      <c r="Y33" s="56" t="str">
        <f>IFERROR(__xludf.DUMMYFUNCTION("""COMPUTED_VALUE"""),"-")</f>
        <v>-</v>
      </c>
      <c r="Z33" s="56" t="str">
        <f>IFERROR(__xludf.DUMMYFUNCTION("""COMPUTED_VALUE"""),"Crédit")</f>
        <v>Crédit</v>
      </c>
      <c r="AA33" s="56"/>
      <c r="AB33" s="56"/>
      <c r="AC33" s="56"/>
      <c r="AD33" s="56"/>
      <c r="AE33" s="56"/>
      <c r="AF33" s="56"/>
      <c r="AG33" s="56"/>
      <c r="AH33" s="56"/>
      <c r="AI33" s="56"/>
      <c r="AJ33" s="56"/>
    </row>
    <row r="34">
      <c r="A34" s="11" t="s">
        <v>147</v>
      </c>
      <c r="B34" s="11" t="s">
        <v>189</v>
      </c>
      <c r="C34" s="11" t="s">
        <v>147</v>
      </c>
      <c r="D34" s="11" t="s">
        <v>88</v>
      </c>
      <c r="E34" s="11" t="s">
        <v>89</v>
      </c>
      <c r="F34" s="12" t="s">
        <v>110</v>
      </c>
      <c r="G34" s="11"/>
      <c r="H34" s="11" t="s">
        <v>54</v>
      </c>
      <c r="I34" s="11" t="s">
        <v>121</v>
      </c>
      <c r="J34" s="11" t="s">
        <v>54</v>
      </c>
      <c r="K34" s="11" t="s">
        <v>212</v>
      </c>
      <c r="L34" s="45" t="str">
        <f t="shared" si="1"/>
        <v/>
      </c>
      <c r="M34" s="46">
        <f>IFERROR(__xludf.DUMMYFUNCTION("IF(Account!$F34&lt;&gt;"""", VALUE(REGEXREPLACE($I34, ""\,"", ""."")), """")"),-2.0)</f>
        <v>-2</v>
      </c>
      <c r="N34" s="47">
        <f>IF(Account!$F34&lt;&gt;"", DATEVALUE(MID($A34,4,3) &amp; LEFT($A34,3) &amp; RIGHT($A34,4)) + TIMEVALUE($B34), "")</f>
        <v>43454.41736</v>
      </c>
      <c r="O34" s="48">
        <f>IF(Account!$F34&lt;&gt;"", DATEVALUE(MID($A34,4,3) &amp; LEFT($A34,3) &amp; RIGHT($A34,4)), "")</f>
        <v>43454</v>
      </c>
      <c r="P34" s="49" t="str">
        <f>IFERROR(VLOOKUP($Q34,Selection!$F:$G,2,false))</f>
        <v>Long term US bonds (20-25 year)</v>
      </c>
      <c r="Q34" s="50" t="str">
        <f>IF(AND($X34="change",$H34="EUR"),IF(AND($Z34="Crédit",$N34=$N35),$Q35,IF(AND($Z34="Débit",$N34=$N33),$Q33)),IF(OR(AND(OR($E34&lt;&gt;"",$L34=""),$M34&lt;&gt;0),$A34=""),IFERROR(VLOOKUP($E34,Selection!$E:$F,2,false)),IFERROR(VLOOKUP(SUBSTITUTE($I34,"-","",1),$K35:$Q1119,7,false),VLOOKUP($K34,$K35:$Q1119,7,false))))</f>
        <v>iShares USD Treasury Bond 20+yr UCITS ETF</v>
      </c>
      <c r="R34" s="49" t="str">
        <f t="shared" si="2"/>
        <v>COST</v>
      </c>
      <c r="S34" s="51" t="str">
        <f t="shared" si="3"/>
        <v/>
      </c>
      <c r="T34" s="52" t="str">
        <f t="shared" si="4"/>
        <v/>
      </c>
      <c r="U34" s="46">
        <f t="shared" si="5"/>
        <v>-3.41</v>
      </c>
      <c r="V34" s="53" t="str">
        <f>IFERROR(__xludf.DUMMYFUNCTION(" IF(Account!$F34&lt;&gt;"""", SPLIT(Account!$F34, "" ""), """")"),"Frais")</f>
        <v>Frais</v>
      </c>
      <c r="W34" s="56" t="str">
        <f>IFERROR(__xludf.DUMMYFUNCTION("""COMPUTED_VALUE"""),"de")</f>
        <v>de</v>
      </c>
      <c r="X34" s="56" t="str">
        <f>IFERROR(__xludf.DUMMYFUNCTION("""COMPUTED_VALUE"""),"courtage")</f>
        <v>courtage</v>
      </c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</row>
    <row r="35">
      <c r="A35" s="11" t="s">
        <v>147</v>
      </c>
      <c r="B35" s="11" t="s">
        <v>189</v>
      </c>
      <c r="C35" s="11" t="s">
        <v>147</v>
      </c>
      <c r="D35" s="11" t="s">
        <v>88</v>
      </c>
      <c r="E35" s="11" t="s">
        <v>89</v>
      </c>
      <c r="F35" s="12" t="s">
        <v>110</v>
      </c>
      <c r="G35" s="11"/>
      <c r="H35" s="11" t="s">
        <v>54</v>
      </c>
      <c r="I35" s="11" t="s">
        <v>219</v>
      </c>
      <c r="J35" s="11" t="s">
        <v>54</v>
      </c>
      <c r="K35" s="11" t="s">
        <v>220</v>
      </c>
      <c r="L35" s="45" t="str">
        <f t="shared" si="1"/>
        <v/>
      </c>
      <c r="M35" s="46">
        <f>IFERROR(__xludf.DUMMYFUNCTION("IF(Account!$F35&lt;&gt;"""", VALUE(REGEXREPLACE($I35, ""\,"", ""."")), """")"),-1.41)</f>
        <v>-1.41</v>
      </c>
      <c r="N35" s="47">
        <f>IF(Account!$F35&lt;&gt;"", DATEVALUE(MID($A35,4,3) &amp; LEFT($A35,3) &amp; RIGHT($A35,4)) + TIMEVALUE($B35), "")</f>
        <v>43454.41736</v>
      </c>
      <c r="O35" s="48">
        <f>IF(Account!$F35&lt;&gt;"", DATEVALUE(MID($A35,4,3) &amp; LEFT($A35,3) &amp; RIGHT($A35,4)), "")</f>
        <v>43454</v>
      </c>
      <c r="P35" s="49" t="str">
        <f>IFERROR(VLOOKUP($Q35,Selection!$F:$G,2,false))</f>
        <v>Long term US bonds (20-25 year)</v>
      </c>
      <c r="Q35" s="50" t="str">
        <f>IF(AND($X35="change",$H35="EUR"),IF(AND($Z35="Crédit",$N35=$N36),$Q36,IF(AND($Z35="Débit",$N35=$N34),$Q34)),IF(OR(AND(OR($E35&lt;&gt;"",$L35=""),$M35&lt;&gt;0),$A35=""),IFERROR(VLOOKUP($E35,Selection!$E:$F,2,false)),IFERROR(VLOOKUP(SUBSTITUTE($I35,"-","",1),$K36:$Q1119,7,false),VLOOKUP($K35,$K36:$Q1119,7,false))))</f>
        <v>iShares USD Treasury Bond 20+yr UCITS ETF</v>
      </c>
      <c r="R35" s="49" t="str">
        <f t="shared" si="2"/>
        <v>COST</v>
      </c>
      <c r="S35" s="51" t="str">
        <f t="shared" si="3"/>
        <v/>
      </c>
      <c r="T35" s="52" t="str">
        <f t="shared" si="4"/>
        <v/>
      </c>
      <c r="U35" s="46">
        <f t="shared" si="5"/>
        <v>-3.41</v>
      </c>
      <c r="V35" s="53" t="str">
        <f>IFERROR(__xludf.DUMMYFUNCTION(" IF(Account!$F35&lt;&gt;"""", SPLIT(Account!$F35, "" ""), """")"),"Frais")</f>
        <v>Frais</v>
      </c>
      <c r="W35" s="56" t="str">
        <f>IFERROR(__xludf.DUMMYFUNCTION("""COMPUTED_VALUE"""),"de")</f>
        <v>de</v>
      </c>
      <c r="X35" s="56" t="str">
        <f>IFERROR(__xludf.DUMMYFUNCTION("""COMPUTED_VALUE"""),"courtage")</f>
        <v>courtage</v>
      </c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</row>
    <row r="36">
      <c r="A36" s="11" t="s">
        <v>147</v>
      </c>
      <c r="B36" s="11" t="s">
        <v>189</v>
      </c>
      <c r="C36" s="11" t="s">
        <v>147</v>
      </c>
      <c r="D36" s="11" t="s">
        <v>88</v>
      </c>
      <c r="E36" s="11" t="s">
        <v>89</v>
      </c>
      <c r="F36" s="12" t="s">
        <v>230</v>
      </c>
      <c r="G36" s="11"/>
      <c r="H36" s="11" t="s">
        <v>82</v>
      </c>
      <c r="I36" s="11" t="s">
        <v>231</v>
      </c>
      <c r="J36" s="11" t="s">
        <v>82</v>
      </c>
      <c r="K36" s="11" t="s">
        <v>231</v>
      </c>
      <c r="L36" s="45">
        <f t="shared" si="1"/>
        <v>-1760</v>
      </c>
      <c r="M36" s="46">
        <f>IFERROR(__xludf.DUMMYFUNCTION("IF(Account!$F36&lt;&gt;"""", VALUE(REGEXREPLACE($I36, ""\,"", ""."")), """")"),8022.96)</f>
        <v>8022.96</v>
      </c>
      <c r="N36" s="47">
        <f>IF(Account!$F36&lt;&gt;"", DATEVALUE(MID($A36,4,3) &amp; LEFT($A36,3) &amp; RIGHT($A36,4)) + TIMEVALUE($B36), "")</f>
        <v>43454.41736</v>
      </c>
      <c r="O36" s="48">
        <f>IF(Account!$F36&lt;&gt;"", DATEVALUE(MID($A36,4,3) &amp; LEFT($A36,3) &amp; RIGHT($A36,4)), "")</f>
        <v>43454</v>
      </c>
      <c r="P36" s="49" t="str">
        <f>IFERROR(VLOOKUP($Q36,Selection!$F:$G,2,false))</f>
        <v>Long term US bonds (20-25 year)</v>
      </c>
      <c r="Q36" s="50" t="str">
        <f>IF(AND($X36="change",$H36="EUR"),IF(AND($Z36="Crédit",$N36=$N37),$Q37,IF(AND($Z36="Débit",$N36=$N35),$Q35)),IF(OR(AND(OR($E36&lt;&gt;"",$L36=""),$M36&lt;&gt;0),$A36=""),IFERROR(VLOOKUP($E36,Selection!$E:$F,2,false)),IFERROR(VLOOKUP(SUBSTITUTE($I36,"-","",1),$K37:$Q1119,7,false),VLOOKUP($K36,$K37:$Q1119,7,false))))</f>
        <v>iShares USD Treasury Bond 20+yr UCITS ETF</v>
      </c>
      <c r="R36" s="49" t="str">
        <f t="shared" si="2"/>
        <v>SELL</v>
      </c>
      <c r="S36" s="51">
        <f t="shared" si="3"/>
        <v>-1760</v>
      </c>
      <c r="T36" s="52">
        <f t="shared" si="4"/>
        <v>3.984704545</v>
      </c>
      <c r="U36" s="46">
        <f t="shared" si="5"/>
        <v>7013.08</v>
      </c>
      <c r="V36" s="53" t="str">
        <f>IFERROR(__xludf.DUMMYFUNCTION(" IF(Account!$F36&lt;&gt;"""", SPLIT(Account!$F36, "" ""), """")"),"Vente")</f>
        <v>Vente</v>
      </c>
      <c r="W36" s="56" t="str">
        <f>IFERROR(__xludf.DUMMYFUNCTION("""COMPUTED_VALUE"""),"1 760")</f>
        <v>1 760</v>
      </c>
      <c r="X36" s="56" t="str">
        <f>IFERROR(__xludf.DUMMYFUNCTION("""COMPUTED_VALUE"""),"ISH")</f>
        <v>ISH</v>
      </c>
      <c r="Y36" s="56" t="str">
        <f>IFERROR(__xludf.DUMMYFUNCTION("""COMPUTED_VALUE"""),"$")</f>
        <v>$</v>
      </c>
      <c r="Z36" s="56" t="str">
        <f>IFERROR(__xludf.DUMMYFUNCTION("""COMPUTED_VALUE"""),"TRESU")</f>
        <v>TRESU</v>
      </c>
      <c r="AA36" s="56" t="str">
        <f>IFERROR(__xludf.DUMMYFUNCTION("""COMPUTED_VALUE"""),"20+@4,5585")</f>
        <v>20+@4,5585</v>
      </c>
      <c r="AB36" s="56" t="str">
        <f>IFERROR(__xludf.DUMMYFUNCTION("""COMPUTED_VALUE"""),"USD")</f>
        <v>USD</v>
      </c>
      <c r="AC36" s="56" t="str">
        <f>IFERROR(__xludf.DUMMYFUNCTION("""COMPUTED_VALUE"""),"(IE00BSKRJZ44)")</f>
        <v>(IE00BSKRJZ44)</v>
      </c>
      <c r="AD36" s="56"/>
      <c r="AE36" s="56"/>
      <c r="AF36" s="56"/>
      <c r="AG36" s="56"/>
      <c r="AH36" s="56"/>
      <c r="AI36" s="56"/>
      <c r="AJ36" s="56"/>
    </row>
    <row r="37">
      <c r="A37" s="11" t="s">
        <v>232</v>
      </c>
      <c r="B37" s="11" t="s">
        <v>233</v>
      </c>
      <c r="C37" s="11" t="s">
        <v>232</v>
      </c>
      <c r="D37" s="11" t="s">
        <v>88</v>
      </c>
      <c r="E37" s="11" t="s">
        <v>89</v>
      </c>
      <c r="F37" s="12" t="s">
        <v>80</v>
      </c>
      <c r="G37" s="11" t="s">
        <v>234</v>
      </c>
      <c r="H37" s="11" t="s">
        <v>82</v>
      </c>
      <c r="I37" s="11" t="s">
        <v>235</v>
      </c>
      <c r="J37" s="11" t="s">
        <v>82</v>
      </c>
      <c r="K37" s="11" t="s">
        <v>192</v>
      </c>
      <c r="L37" s="45">
        <f t="shared" si="1"/>
        <v>0</v>
      </c>
      <c r="M37" s="46">
        <f>IFERROR(__xludf.DUMMYFUNCTION("IF(Account!$F37&lt;&gt;"""", VALUE(REGEXREPLACE($I37, ""\,"", ""."")), """")"),-5268.84)</f>
        <v>-5268.84</v>
      </c>
      <c r="N37" s="47">
        <f>IF(Account!$F37&lt;&gt;"", DATEVALUE(MID($A37,4,3) &amp; LEFT($A37,3) &amp; RIGHT($A37,4)) + TIMEVALUE($B37), "")</f>
        <v>43453.51111</v>
      </c>
      <c r="O37" s="48">
        <f>IF(Account!$F37&lt;&gt;"", DATEVALUE(MID($A37,4,3) &amp; LEFT($A37,3) &amp; RIGHT($A37,4)), "")</f>
        <v>43453</v>
      </c>
      <c r="P37" s="49" t="str">
        <f>IFERROR(VLOOKUP($Q37,Selection!$F:$G,2,false))</f>
        <v>Long term US bonds (20-25 year)</v>
      </c>
      <c r="Q37" s="50" t="str">
        <f>IF(AND($X37="change",$H37="EUR"),IF(AND($Z37="Crédit",$N37=$N38),$Q38,IF(AND($Z37="Débit",$N37=$N36),$Q36)),IF(OR(AND(OR($E37&lt;&gt;"",$L37=""),$M37&lt;&gt;0),$A37=""),IFERROR(VLOOKUP($E37,Selection!$E:$F,2,false)),IFERROR(VLOOKUP(SUBSTITUTE($I37,"-","",1),$K38:$Q1119,7,false),VLOOKUP($K37,$K38:$Q1119,7,false))))</f>
        <v>iShares USD Treasury Bond 20+yr UCITS ETF</v>
      </c>
      <c r="R37" s="49" t="str">
        <f t="shared" si="2"/>
        <v>SELL</v>
      </c>
      <c r="S37" s="51">
        <f t="shared" si="3"/>
        <v>-1177</v>
      </c>
      <c r="T37" s="52">
        <f t="shared" si="4"/>
        <v>3.919286321</v>
      </c>
      <c r="U37" s="46">
        <f t="shared" si="5"/>
        <v>4613</v>
      </c>
      <c r="V37" s="53" t="str">
        <f>IFERROR(__xludf.DUMMYFUNCTION(" IF(Account!$F37&lt;&gt;"""", SPLIT(Account!$F37, "" ""), """")"),"Opération")</f>
        <v>Opération</v>
      </c>
      <c r="W37" s="56" t="str">
        <f>IFERROR(__xludf.DUMMYFUNCTION("""COMPUTED_VALUE"""),"de")</f>
        <v>de</v>
      </c>
      <c r="X37" s="56" t="str">
        <f>IFERROR(__xludf.DUMMYFUNCTION("""COMPUTED_VALUE"""),"change")</f>
        <v>change</v>
      </c>
      <c r="Y37" s="56" t="str">
        <f>IFERROR(__xludf.DUMMYFUNCTION("""COMPUTED_VALUE"""),"-")</f>
        <v>-</v>
      </c>
      <c r="Z37" s="56" t="str">
        <f>IFERROR(__xludf.DUMMYFUNCTION("""COMPUTED_VALUE"""),"Débit")</f>
        <v>Débit</v>
      </c>
      <c r="AA37" s="56"/>
      <c r="AB37" s="56"/>
      <c r="AC37" s="56"/>
      <c r="AD37" s="56"/>
      <c r="AE37" s="56"/>
      <c r="AF37" s="56"/>
      <c r="AG37" s="56"/>
      <c r="AH37" s="56"/>
      <c r="AI37" s="56"/>
      <c r="AJ37" s="56"/>
    </row>
    <row r="38">
      <c r="A38" s="11" t="s">
        <v>232</v>
      </c>
      <c r="B38" s="11" t="s">
        <v>233</v>
      </c>
      <c r="C38" s="11" t="s">
        <v>232</v>
      </c>
      <c r="D38" s="11" t="s">
        <v>88</v>
      </c>
      <c r="E38" s="11" t="s">
        <v>89</v>
      </c>
      <c r="F38" s="12" t="s">
        <v>77</v>
      </c>
      <c r="G38" s="11"/>
      <c r="H38" s="11" t="s">
        <v>54</v>
      </c>
      <c r="I38" s="11" t="s">
        <v>256</v>
      </c>
      <c r="J38" s="11" t="s">
        <v>54</v>
      </c>
      <c r="K38" s="11" t="s">
        <v>257</v>
      </c>
      <c r="L38" s="45">
        <f t="shared" si="1"/>
        <v>0</v>
      </c>
      <c r="M38" s="46">
        <f>IFERROR(__xludf.DUMMYFUNCTION("IF(Account!$F38&lt;&gt;"""", VALUE(REGEXREPLACE($I38, ""\,"", ""."")), """")"),4613.0)</f>
        <v>4613</v>
      </c>
      <c r="N38" s="47">
        <f>IF(Account!$F38&lt;&gt;"", DATEVALUE(MID($A38,4,3) &amp; LEFT($A38,3) &amp; RIGHT($A38,4)) + TIMEVALUE($B38), "")</f>
        <v>43453.51111</v>
      </c>
      <c r="O38" s="48">
        <f>IF(Account!$F38&lt;&gt;"", DATEVALUE(MID($A38,4,3) &amp; LEFT($A38,3) &amp; RIGHT($A38,4)), "")</f>
        <v>43453</v>
      </c>
      <c r="P38" s="49" t="str">
        <f>IFERROR(VLOOKUP($Q38,Selection!$F:$G,2,false))</f>
        <v>Long term US bonds (20-25 year)</v>
      </c>
      <c r="Q38" s="50" t="str">
        <f>IF(AND($X38="change",$H38="EUR"),IF(AND($Z38="Crédit",$N38=$N39),$Q39,IF(AND($Z38="Débit",$N38=$N37),$Q37)),IF(OR(AND(OR($E38&lt;&gt;"",$L38=""),$M38&lt;&gt;0),$A38=""),IFERROR(VLOOKUP($E38,Selection!$E:$F,2,false)),IFERROR(VLOOKUP(SUBSTITUTE($I38,"-","",1),$K39:$Q1119,7,false),VLOOKUP($K38,$K39:$Q1119,7,false))))</f>
        <v>iShares USD Treasury Bond 20+yr UCITS ETF</v>
      </c>
      <c r="R38" s="49" t="str">
        <f t="shared" si="2"/>
        <v>SELL</v>
      </c>
      <c r="S38" s="51">
        <f t="shared" si="3"/>
        <v>-1177</v>
      </c>
      <c r="T38" s="52">
        <f t="shared" si="4"/>
        <v>3.919286321</v>
      </c>
      <c r="U38" s="46">
        <f t="shared" si="5"/>
        <v>4613</v>
      </c>
      <c r="V38" s="53" t="str">
        <f>IFERROR(__xludf.DUMMYFUNCTION(" IF(Account!$F38&lt;&gt;"""", SPLIT(Account!$F38, "" ""), """")"),"Operation")</f>
        <v>Operation</v>
      </c>
      <c r="W38" s="56" t="str">
        <f>IFERROR(__xludf.DUMMYFUNCTION("""COMPUTED_VALUE"""),"de")</f>
        <v>de</v>
      </c>
      <c r="X38" s="56" t="str">
        <f>IFERROR(__xludf.DUMMYFUNCTION("""COMPUTED_VALUE"""),"change")</f>
        <v>change</v>
      </c>
      <c r="Y38" s="56" t="str">
        <f>IFERROR(__xludf.DUMMYFUNCTION("""COMPUTED_VALUE"""),"-")</f>
        <v>-</v>
      </c>
      <c r="Z38" s="56" t="str">
        <f>IFERROR(__xludf.DUMMYFUNCTION("""COMPUTED_VALUE"""),"Crédit")</f>
        <v>Crédit</v>
      </c>
      <c r="AA38" s="56"/>
      <c r="AB38" s="56"/>
      <c r="AC38" s="56"/>
      <c r="AD38" s="56"/>
      <c r="AE38" s="56"/>
      <c r="AF38" s="56"/>
      <c r="AG38" s="56"/>
      <c r="AH38" s="56"/>
      <c r="AI38" s="56"/>
      <c r="AJ38" s="56"/>
    </row>
    <row r="39">
      <c r="A39" s="11" t="s">
        <v>232</v>
      </c>
      <c r="B39" s="11" t="s">
        <v>233</v>
      </c>
      <c r="C39" s="11" t="s">
        <v>232</v>
      </c>
      <c r="D39" s="11" t="s">
        <v>88</v>
      </c>
      <c r="E39" s="11" t="s">
        <v>89</v>
      </c>
      <c r="F39" s="12" t="s">
        <v>110</v>
      </c>
      <c r="G39" s="11"/>
      <c r="H39" s="11" t="s">
        <v>54</v>
      </c>
      <c r="I39" s="11" t="s">
        <v>121</v>
      </c>
      <c r="J39" s="11" t="s">
        <v>54</v>
      </c>
      <c r="K39" s="11" t="s">
        <v>276</v>
      </c>
      <c r="L39" s="45" t="str">
        <f t="shared" si="1"/>
        <v/>
      </c>
      <c r="M39" s="46">
        <f>IFERROR(__xludf.DUMMYFUNCTION("IF(Account!$F39&lt;&gt;"""", VALUE(REGEXREPLACE($I39, ""\,"", ""."")), """")"),-2.0)</f>
        <v>-2</v>
      </c>
      <c r="N39" s="47">
        <f>IF(Account!$F39&lt;&gt;"", DATEVALUE(MID($A39,4,3) &amp; LEFT($A39,3) &amp; RIGHT($A39,4)) + TIMEVALUE($B39), "")</f>
        <v>43453.51111</v>
      </c>
      <c r="O39" s="48">
        <f>IF(Account!$F39&lt;&gt;"", DATEVALUE(MID($A39,4,3) &amp; LEFT($A39,3) &amp; RIGHT($A39,4)), "")</f>
        <v>43453</v>
      </c>
      <c r="P39" s="49" t="str">
        <f>IFERROR(VLOOKUP($Q39,Selection!$F:$G,2,false))</f>
        <v>Long term US bonds (20-25 year)</v>
      </c>
      <c r="Q39" s="50" t="str">
        <f>IF(AND($X39="change",$H39="EUR"),IF(AND($Z39="Crédit",$N39=$N40),$Q40,IF(AND($Z39="Débit",$N39=$N38),$Q38)),IF(OR(AND(OR($E39&lt;&gt;"",$L39=""),$M39&lt;&gt;0),$A39=""),IFERROR(VLOOKUP($E39,Selection!$E:$F,2,false)),IFERROR(VLOOKUP(SUBSTITUTE($I39,"-","",1),$K40:$Q1119,7,false),VLOOKUP($K39,$K40:$Q1119,7,false))))</f>
        <v>iShares USD Treasury Bond 20+yr UCITS ETF</v>
      </c>
      <c r="R39" s="49" t="str">
        <f t="shared" si="2"/>
        <v>COST</v>
      </c>
      <c r="S39" s="51" t="str">
        <f t="shared" si="3"/>
        <v/>
      </c>
      <c r="T39" s="52" t="str">
        <f t="shared" si="4"/>
        <v/>
      </c>
      <c r="U39" s="46">
        <f t="shared" si="5"/>
        <v>-2.92</v>
      </c>
      <c r="V39" s="53" t="str">
        <f>IFERROR(__xludf.DUMMYFUNCTION(" IF(Account!$F39&lt;&gt;"""", SPLIT(Account!$F39, "" ""), """")"),"Frais")</f>
        <v>Frais</v>
      </c>
      <c r="W39" s="56" t="str">
        <f>IFERROR(__xludf.DUMMYFUNCTION("""COMPUTED_VALUE"""),"de")</f>
        <v>de</v>
      </c>
      <c r="X39" s="56" t="str">
        <f>IFERROR(__xludf.DUMMYFUNCTION("""COMPUTED_VALUE"""),"courtage")</f>
        <v>courtage</v>
      </c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</row>
    <row r="40">
      <c r="A40" s="11" t="s">
        <v>232</v>
      </c>
      <c r="B40" s="11" t="s">
        <v>233</v>
      </c>
      <c r="C40" s="11" t="s">
        <v>232</v>
      </c>
      <c r="D40" s="11" t="s">
        <v>88</v>
      </c>
      <c r="E40" s="11" t="s">
        <v>89</v>
      </c>
      <c r="F40" s="12" t="s">
        <v>110</v>
      </c>
      <c r="G40" s="11"/>
      <c r="H40" s="11" t="s">
        <v>54</v>
      </c>
      <c r="I40" s="11" t="s">
        <v>277</v>
      </c>
      <c r="J40" s="11" t="s">
        <v>54</v>
      </c>
      <c r="K40" s="11" t="s">
        <v>278</v>
      </c>
      <c r="L40" s="45" t="str">
        <f t="shared" si="1"/>
        <v/>
      </c>
      <c r="M40" s="46">
        <f>IFERROR(__xludf.DUMMYFUNCTION("IF(Account!$F40&lt;&gt;"""", VALUE(REGEXREPLACE($I40, ""\,"", ""."")), """")"),-0.92)</f>
        <v>-0.92</v>
      </c>
      <c r="N40" s="47">
        <f>IF(Account!$F40&lt;&gt;"", DATEVALUE(MID($A40,4,3) &amp; LEFT($A40,3) &amp; RIGHT($A40,4)) + TIMEVALUE($B40), "")</f>
        <v>43453.51111</v>
      </c>
      <c r="O40" s="48">
        <f>IF(Account!$F40&lt;&gt;"", DATEVALUE(MID($A40,4,3) &amp; LEFT($A40,3) &amp; RIGHT($A40,4)), "")</f>
        <v>43453</v>
      </c>
      <c r="P40" s="49" t="str">
        <f>IFERROR(VLOOKUP($Q40,Selection!$F:$G,2,false))</f>
        <v>Long term US bonds (20-25 year)</v>
      </c>
      <c r="Q40" s="50" t="str">
        <f>IF(AND($X40="change",$H40="EUR"),IF(AND($Z40="Crédit",$N40=$N41),$Q41,IF(AND($Z40="Débit",$N40=$N39),$Q39)),IF(OR(AND(OR($E40&lt;&gt;"",$L40=""),$M40&lt;&gt;0),$A40=""),IFERROR(VLOOKUP($E40,Selection!$E:$F,2,false)),IFERROR(VLOOKUP(SUBSTITUTE($I40,"-","",1),$K41:$Q1119,7,false),VLOOKUP($K40,$K41:$Q1119,7,false))))</f>
        <v>iShares USD Treasury Bond 20+yr UCITS ETF</v>
      </c>
      <c r="R40" s="49" t="str">
        <f t="shared" si="2"/>
        <v>COST</v>
      </c>
      <c r="S40" s="51" t="str">
        <f t="shared" si="3"/>
        <v/>
      </c>
      <c r="T40" s="52" t="str">
        <f t="shared" si="4"/>
        <v/>
      </c>
      <c r="U40" s="46">
        <f t="shared" si="5"/>
        <v>-2.92</v>
      </c>
      <c r="V40" s="53" t="str">
        <f>IFERROR(__xludf.DUMMYFUNCTION(" IF(Account!$F40&lt;&gt;"""", SPLIT(Account!$F40, "" ""), """")"),"Frais")</f>
        <v>Frais</v>
      </c>
      <c r="W40" s="56" t="str">
        <f>IFERROR(__xludf.DUMMYFUNCTION("""COMPUTED_VALUE"""),"de")</f>
        <v>de</v>
      </c>
      <c r="X40" s="56" t="str">
        <f>IFERROR(__xludf.DUMMYFUNCTION("""COMPUTED_VALUE"""),"courtage")</f>
        <v>courtage</v>
      </c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</row>
    <row r="41">
      <c r="A41" s="11" t="s">
        <v>232</v>
      </c>
      <c r="B41" s="11" t="s">
        <v>233</v>
      </c>
      <c r="C41" s="11" t="s">
        <v>232</v>
      </c>
      <c r="D41" s="11" t="s">
        <v>88</v>
      </c>
      <c r="E41" s="11" t="s">
        <v>89</v>
      </c>
      <c r="F41" s="12" t="s">
        <v>279</v>
      </c>
      <c r="G41" s="11"/>
      <c r="H41" s="11" t="s">
        <v>82</v>
      </c>
      <c r="I41" s="11" t="s">
        <v>280</v>
      </c>
      <c r="J41" s="11" t="s">
        <v>82</v>
      </c>
      <c r="K41" s="11" t="s">
        <v>280</v>
      </c>
      <c r="L41" s="45">
        <f t="shared" si="1"/>
        <v>-1177</v>
      </c>
      <c r="M41" s="46">
        <f>IFERROR(__xludf.DUMMYFUNCTION("IF(Account!$F41&lt;&gt;"""", VALUE(REGEXREPLACE($I41, ""\,"", ""."")), """")"),5268.84)</f>
        <v>5268.84</v>
      </c>
      <c r="N41" s="47">
        <f>IF(Account!$F41&lt;&gt;"", DATEVALUE(MID($A41,4,3) &amp; LEFT($A41,3) &amp; RIGHT($A41,4)) + TIMEVALUE($B41), "")</f>
        <v>43453.51111</v>
      </c>
      <c r="O41" s="48">
        <f>IF(Account!$F41&lt;&gt;"", DATEVALUE(MID($A41,4,3) &amp; LEFT($A41,3) &amp; RIGHT($A41,4)), "")</f>
        <v>43453</v>
      </c>
      <c r="P41" s="49" t="str">
        <f>IFERROR(VLOOKUP($Q41,Selection!$F:$G,2,false))</f>
        <v>Long term US bonds (20-25 year)</v>
      </c>
      <c r="Q41" s="50" t="str">
        <f>IF(AND($X41="change",$H41="EUR"),IF(AND($Z41="Crédit",$N41=$N42),$Q42,IF(AND($Z41="Débit",$N41=$N40),$Q40)),IF(OR(AND(OR($E41&lt;&gt;"",$L41=""),$M41&lt;&gt;0),$A41=""),IFERROR(VLOOKUP($E41,Selection!$E:$F,2,false)),IFERROR(VLOOKUP(SUBSTITUTE($I41,"-","",1),$K42:$Q1119,7,false),VLOOKUP($K41,$K42:$Q1119,7,false))))</f>
        <v>iShares USD Treasury Bond 20+yr UCITS ETF</v>
      </c>
      <c r="R41" s="49" t="str">
        <f t="shared" si="2"/>
        <v>SELL</v>
      </c>
      <c r="S41" s="51">
        <f t="shared" si="3"/>
        <v>-1177</v>
      </c>
      <c r="T41" s="52">
        <f t="shared" si="4"/>
        <v>3.919286321</v>
      </c>
      <c r="U41" s="46">
        <f t="shared" si="5"/>
        <v>4613</v>
      </c>
      <c r="V41" s="53" t="str">
        <f>IFERROR(__xludf.DUMMYFUNCTION(" IF(Account!$F41&lt;&gt;"""", SPLIT(Account!$F41, "" ""), """")"),"Vente")</f>
        <v>Vente</v>
      </c>
      <c r="W41" s="56" t="str">
        <f>IFERROR(__xludf.DUMMYFUNCTION("""COMPUTED_VALUE"""),"1 177")</f>
        <v>1 177</v>
      </c>
      <c r="X41" s="56" t="str">
        <f>IFERROR(__xludf.DUMMYFUNCTION("""COMPUTED_VALUE"""),"ISH")</f>
        <v>ISH</v>
      </c>
      <c r="Y41" s="56" t="str">
        <f>IFERROR(__xludf.DUMMYFUNCTION("""COMPUTED_VALUE"""),"$")</f>
        <v>$</v>
      </c>
      <c r="Z41" s="56" t="str">
        <f>IFERROR(__xludf.DUMMYFUNCTION("""COMPUTED_VALUE"""),"TRESU")</f>
        <v>TRESU</v>
      </c>
      <c r="AA41" s="56" t="str">
        <f>IFERROR(__xludf.DUMMYFUNCTION("""COMPUTED_VALUE"""),"20+@4,4765")</f>
        <v>20+@4,4765</v>
      </c>
      <c r="AB41" s="56" t="str">
        <f>IFERROR(__xludf.DUMMYFUNCTION("""COMPUTED_VALUE"""),"USD")</f>
        <v>USD</v>
      </c>
      <c r="AC41" s="56" t="str">
        <f>IFERROR(__xludf.DUMMYFUNCTION("""COMPUTED_VALUE"""),"(IE00BSKRJZ44)")</f>
        <v>(IE00BSKRJZ44)</v>
      </c>
      <c r="AD41" s="56"/>
      <c r="AE41" s="56"/>
      <c r="AF41" s="56"/>
      <c r="AG41" s="56"/>
      <c r="AH41" s="56"/>
      <c r="AI41" s="56"/>
      <c r="AJ41" s="56"/>
    </row>
    <row r="42">
      <c r="A42" s="11" t="s">
        <v>281</v>
      </c>
      <c r="B42" s="11" t="s">
        <v>282</v>
      </c>
      <c r="C42" s="11" t="s">
        <v>281</v>
      </c>
      <c r="D42" s="11" t="s">
        <v>129</v>
      </c>
      <c r="E42" s="11" t="s">
        <v>130</v>
      </c>
      <c r="F42" s="12" t="s">
        <v>283</v>
      </c>
      <c r="G42" s="11"/>
      <c r="H42" s="11" t="s">
        <v>54</v>
      </c>
      <c r="I42" s="11" t="s">
        <v>284</v>
      </c>
      <c r="J42" s="11" t="s">
        <v>54</v>
      </c>
      <c r="K42" s="11" t="s">
        <v>285</v>
      </c>
      <c r="L42" s="45">
        <f t="shared" si="1"/>
        <v>-10</v>
      </c>
      <c r="M42" s="46">
        <f>IFERROR(__xludf.DUMMYFUNCTION("IF(Account!$F42&lt;&gt;"""", VALUE(REGEXREPLACE($I42, ""\,"", ""."")), """")"),1048.3)</f>
        <v>1048.3</v>
      </c>
      <c r="N42" s="47">
        <f>IF(Account!$F42&lt;&gt;"", DATEVALUE(MID($A42,4,3) &amp; LEFT($A42,3) &amp; RIGHT($A42,4)) + TIMEVALUE($B42), "")</f>
        <v>43452.49167</v>
      </c>
      <c r="O42" s="48">
        <f>IF(Account!$F42&lt;&gt;"", DATEVALUE(MID($A42,4,3) &amp; LEFT($A42,3) &amp; RIGHT($A42,4)), "")</f>
        <v>43452</v>
      </c>
      <c r="P42" s="49" t="str">
        <f>IFERROR(VLOOKUP($Q42,Selection!$F:$G,2,false))</f>
        <v>Gold</v>
      </c>
      <c r="Q42" s="50" t="str">
        <f>IF(AND($X42="change",$H42="EUR"),IF(AND($Z42="Crédit",$N42=$N43),$Q43,IF(AND($Z42="Débit",$N42=$N41),$Q41)),IF(OR(AND(OR($E42&lt;&gt;"",$L42=""),$M42&lt;&gt;0),$A42=""),IFERROR(VLOOKUP($E42,Selection!$E:$F,2,false)),IFERROR(VLOOKUP(SUBSTITUTE($I42,"-","",1),$K43:$Q1119,7,false),VLOOKUP($K42,$K43:$Q1119,7,false))))</f>
        <v>ETFS Physical Gold</v>
      </c>
      <c r="R42" s="49" t="str">
        <f t="shared" si="2"/>
        <v>SELL</v>
      </c>
      <c r="S42" s="51">
        <f t="shared" si="3"/>
        <v>-10</v>
      </c>
      <c r="T42" s="52">
        <f t="shared" si="4"/>
        <v>104.83</v>
      </c>
      <c r="U42" s="46">
        <f t="shared" si="5"/>
        <v>1048.3</v>
      </c>
      <c r="V42" s="53" t="str">
        <f>IFERROR(__xludf.DUMMYFUNCTION(" IF(Account!$F42&lt;&gt;"""", SPLIT(Account!$F42, "" ""), """")"),"Vente")</f>
        <v>Vente</v>
      </c>
      <c r="W42" s="56">
        <f>IFERROR(__xludf.DUMMYFUNCTION("""COMPUTED_VALUE"""),10.0)</f>
        <v>10</v>
      </c>
      <c r="X42" s="56" t="str">
        <f>IFERROR(__xludf.DUMMYFUNCTION("""COMPUTED_VALUE"""),"ETFS")</f>
        <v>ETFS</v>
      </c>
      <c r="Y42" s="56" t="str">
        <f>IFERROR(__xludf.DUMMYFUNCTION("""COMPUTED_VALUE"""),"PHYSICALGOLD@104,83")</f>
        <v>PHYSICALGOLD@104,83</v>
      </c>
      <c r="Z42" s="56" t="str">
        <f>IFERROR(__xludf.DUMMYFUNCTION("""COMPUTED_VALUE"""),"EUR")</f>
        <v>EUR</v>
      </c>
      <c r="AA42" s="56" t="str">
        <f>IFERROR(__xludf.DUMMYFUNCTION("""COMPUTED_VALUE"""),"(JE00B1VS3770)")</f>
        <v>(JE00B1VS3770)</v>
      </c>
      <c r="AB42" s="56"/>
      <c r="AC42" s="56"/>
      <c r="AD42" s="56"/>
      <c r="AE42" s="56"/>
      <c r="AF42" s="56"/>
      <c r="AG42" s="56"/>
      <c r="AH42" s="56"/>
      <c r="AI42" s="56"/>
      <c r="AJ42" s="56"/>
    </row>
    <row r="43">
      <c r="A43" s="11" t="s">
        <v>281</v>
      </c>
      <c r="B43" s="11" t="s">
        <v>286</v>
      </c>
      <c r="C43" s="11" t="s">
        <v>281</v>
      </c>
      <c r="D43" s="11" t="s">
        <v>95</v>
      </c>
      <c r="E43" s="11" t="s">
        <v>96</v>
      </c>
      <c r="F43" s="12" t="s">
        <v>287</v>
      </c>
      <c r="G43" s="11"/>
      <c r="H43" s="11" t="s">
        <v>54</v>
      </c>
      <c r="I43" s="11" t="s">
        <v>288</v>
      </c>
      <c r="J43" s="11" t="s">
        <v>54</v>
      </c>
      <c r="K43" s="11" t="s">
        <v>289</v>
      </c>
      <c r="L43" s="45">
        <f t="shared" si="1"/>
        <v>-15</v>
      </c>
      <c r="M43" s="46">
        <f>IFERROR(__xludf.DUMMYFUNCTION("IF(Account!$F43&lt;&gt;"""", VALUE(REGEXREPLACE($I43, ""\,"", ""."")), """")"),2494.5)</f>
        <v>2494.5</v>
      </c>
      <c r="N43" s="47">
        <f>IF(Account!$F43&lt;&gt;"", DATEVALUE(MID($A43,4,3) &amp; LEFT($A43,3) &amp; RIGHT($A43,4)) + TIMEVALUE($B43), "")</f>
        <v>43452.48958</v>
      </c>
      <c r="O43" s="48">
        <f>IF(Account!$F43&lt;&gt;"", DATEVALUE(MID($A43,4,3) &amp; LEFT($A43,3) &amp; RIGHT($A43,4)), "")</f>
        <v>43452</v>
      </c>
      <c r="P43" s="49" t="str">
        <f>IFERROR(VLOOKUP($Q43,Selection!$F:$G,2,false))</f>
        <v>Intermediate US bonds (7-10 year)</v>
      </c>
      <c r="Q43" s="50" t="str">
        <f>IF(AND($X43="change",$H43="EUR"),IF(AND($Z43="Crédit",$N43=$N44),$Q44,IF(AND($Z43="Débit",$N43=$N42),$Q42)),IF(OR(AND(OR($E43&lt;&gt;"",$L43=""),$M43&lt;&gt;0),$A43=""),IFERROR(VLOOKUP($E43,Selection!$E:$F,2,false)),IFERROR(VLOOKUP(SUBSTITUTE($I43,"-","",1),$K44:$Q1119,7,false),VLOOKUP($K43,$K44:$Q1119,7,false))))</f>
        <v>iShares USD Treasury Bond 7-10yr UCITS ETF USD Dist</v>
      </c>
      <c r="R43" s="49" t="str">
        <f t="shared" si="2"/>
        <v>SELL</v>
      </c>
      <c r="S43" s="51">
        <f t="shared" si="3"/>
        <v>-15</v>
      </c>
      <c r="T43" s="52">
        <f t="shared" si="4"/>
        <v>166.3</v>
      </c>
      <c r="U43" s="46">
        <f t="shared" si="5"/>
        <v>2494.5</v>
      </c>
      <c r="V43" s="53" t="str">
        <f>IFERROR(__xludf.DUMMYFUNCTION(" IF(Account!$F43&lt;&gt;"""", SPLIT(Account!$F43, "" ""), """")"),"Vente")</f>
        <v>Vente</v>
      </c>
      <c r="W43" s="56">
        <f>IFERROR(__xludf.DUMMYFUNCTION("""COMPUTED_VALUE"""),15.0)</f>
        <v>15</v>
      </c>
      <c r="X43" s="56" t="str">
        <f>IFERROR(__xludf.DUMMYFUNCTION("""COMPUTED_VALUE"""),"ISHARES")</f>
        <v>ISHARES</v>
      </c>
      <c r="Y43" s="56" t="str">
        <f>IFERROR(__xludf.DUMMYFUNCTION("""COMPUTED_VALUE"""),"US")</f>
        <v>US</v>
      </c>
      <c r="Z43" s="56" t="str">
        <f>IFERROR(__xludf.DUMMYFUNCTION("""COMPUTED_VALUE"""),"T")</f>
        <v>T</v>
      </c>
      <c r="AA43" s="56" t="str">
        <f>IFERROR(__xludf.DUMMYFUNCTION("""COMPUTED_VALUE"""),"7-10@166,3")</f>
        <v>7-10@166,3</v>
      </c>
      <c r="AB43" s="56" t="str">
        <f>IFERROR(__xludf.DUMMYFUNCTION("""COMPUTED_VALUE"""),"EUR")</f>
        <v>EUR</v>
      </c>
      <c r="AC43" s="56" t="str">
        <f>IFERROR(__xludf.DUMMYFUNCTION("""COMPUTED_VALUE"""),"(IE00B1FZS798)")</f>
        <v>(IE00B1FZS798)</v>
      </c>
      <c r="AD43" s="56"/>
      <c r="AE43" s="56"/>
      <c r="AF43" s="56"/>
      <c r="AG43" s="56"/>
      <c r="AH43" s="56"/>
      <c r="AI43" s="56"/>
      <c r="AJ43" s="56"/>
    </row>
    <row r="44">
      <c r="A44" s="11" t="s">
        <v>290</v>
      </c>
      <c r="B44" s="11" t="s">
        <v>291</v>
      </c>
      <c r="C44" s="11" t="s">
        <v>290</v>
      </c>
      <c r="D44" s="11" t="s">
        <v>59</v>
      </c>
      <c r="E44" s="11" t="s">
        <v>60</v>
      </c>
      <c r="F44" s="12" t="s">
        <v>110</v>
      </c>
      <c r="G44" s="11"/>
      <c r="H44" s="11" t="s">
        <v>54</v>
      </c>
      <c r="I44" s="11" t="s">
        <v>121</v>
      </c>
      <c r="J44" s="11" t="s">
        <v>54</v>
      </c>
      <c r="K44" s="11" t="s">
        <v>292</v>
      </c>
      <c r="L44" s="45" t="str">
        <f t="shared" si="1"/>
        <v/>
      </c>
      <c r="M44" s="46">
        <f>IFERROR(__xludf.DUMMYFUNCTION("IF(Account!$F44&lt;&gt;"""", VALUE(REGEXREPLACE($I44, ""\,"", ""."")), """")"),-2.0)</f>
        <v>-2</v>
      </c>
      <c r="N44" s="47">
        <f>IF(Account!$F44&lt;&gt;"", DATEVALUE(MID($A44,4,3) &amp; LEFT($A44,3) &amp; RIGHT($A44,4)) + TIMEVALUE($B44), "")</f>
        <v>43451.68333</v>
      </c>
      <c r="O44" s="48">
        <f>IF(Account!$F44&lt;&gt;"", DATEVALUE(MID($A44,4,3) &amp; LEFT($A44,3) &amp; RIGHT($A44,4)), "")</f>
        <v>43451</v>
      </c>
      <c r="P44" s="49" t="str">
        <f>IFERROR(VLOOKUP($Q44,Selection!$F:$G,2,false))</f>
        <v>Stocks</v>
      </c>
      <c r="Q44" s="50" t="str">
        <f>IF(AND($X44="change",$H44="EUR"),IF(AND($Z44="Crédit",$N44=$N45),$Q45,IF(AND($Z44="Débit",$N44=$N43),$Q43)),IF(OR(AND(OR($E44&lt;&gt;"",$L44=""),$M44&lt;&gt;0),$A44=""),IFERROR(VLOOKUP($E44,Selection!$E:$F,2,false)),IFERROR(VLOOKUP(SUBSTITUTE($I44,"-","",1),$K45:$Q1119,7,false),VLOOKUP($K44,$K45:$Q1119,7,false))))</f>
        <v>Vanguard S&amp;P 500 UCITS ETF</v>
      </c>
      <c r="R44" s="49" t="str">
        <f t="shared" si="2"/>
        <v>COST</v>
      </c>
      <c r="S44" s="51" t="str">
        <f t="shared" si="3"/>
        <v/>
      </c>
      <c r="T44" s="52" t="str">
        <f t="shared" si="4"/>
        <v/>
      </c>
      <c r="U44" s="46">
        <f t="shared" si="5"/>
        <v>-2.42</v>
      </c>
      <c r="V44" s="53" t="str">
        <f>IFERROR(__xludf.DUMMYFUNCTION(" IF(Account!$F44&lt;&gt;"""", SPLIT(Account!$F44, "" ""), """")"),"Frais")</f>
        <v>Frais</v>
      </c>
      <c r="W44" s="56" t="str">
        <f>IFERROR(__xludf.DUMMYFUNCTION("""COMPUTED_VALUE"""),"de")</f>
        <v>de</v>
      </c>
      <c r="X44" s="56" t="str">
        <f>IFERROR(__xludf.DUMMYFUNCTION("""COMPUTED_VALUE"""),"courtage")</f>
        <v>courtage</v>
      </c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</row>
    <row r="45">
      <c r="A45" s="11" t="s">
        <v>290</v>
      </c>
      <c r="B45" s="11" t="s">
        <v>291</v>
      </c>
      <c r="C45" s="11" t="s">
        <v>290</v>
      </c>
      <c r="D45" s="11" t="s">
        <v>59</v>
      </c>
      <c r="E45" s="11" t="s">
        <v>60</v>
      </c>
      <c r="F45" s="12" t="s">
        <v>110</v>
      </c>
      <c r="G45" s="11"/>
      <c r="H45" s="11" t="s">
        <v>54</v>
      </c>
      <c r="I45" s="11" t="s">
        <v>293</v>
      </c>
      <c r="J45" s="11" t="s">
        <v>54</v>
      </c>
      <c r="K45" s="11" t="s">
        <v>294</v>
      </c>
      <c r="L45" s="45" t="str">
        <f t="shared" si="1"/>
        <v/>
      </c>
      <c r="M45" s="46">
        <f>IFERROR(__xludf.DUMMYFUNCTION("IF(Account!$F45&lt;&gt;"""", VALUE(REGEXREPLACE($I45, ""\,"", ""."")), """")"),-0.42)</f>
        <v>-0.42</v>
      </c>
      <c r="N45" s="47">
        <f>IF(Account!$F45&lt;&gt;"", DATEVALUE(MID($A45,4,3) &amp; LEFT($A45,3) &amp; RIGHT($A45,4)) + TIMEVALUE($B45), "")</f>
        <v>43451.68333</v>
      </c>
      <c r="O45" s="48">
        <f>IF(Account!$F45&lt;&gt;"", DATEVALUE(MID($A45,4,3) &amp; LEFT($A45,3) &amp; RIGHT($A45,4)), "")</f>
        <v>43451</v>
      </c>
      <c r="P45" s="49" t="str">
        <f>IFERROR(VLOOKUP($Q45,Selection!$F:$G,2,false))</f>
        <v>Stocks</v>
      </c>
      <c r="Q45" s="50" t="str">
        <f>IF(AND($X45="change",$H45="EUR"),IF(AND($Z45="Crédit",$N45=$N46),$Q46,IF(AND($Z45="Débit",$N45=$N44),$Q44)),IF(OR(AND(OR($E45&lt;&gt;"",$L45=""),$M45&lt;&gt;0),$A45=""),IFERROR(VLOOKUP($E45,Selection!$E:$F,2,false)),IFERROR(VLOOKUP(SUBSTITUTE($I45,"-","",1),$K46:$Q1119,7,false),VLOOKUP($K45,$K46:$Q1119,7,false))))</f>
        <v>Vanguard S&amp;P 500 UCITS ETF</v>
      </c>
      <c r="R45" s="49" t="str">
        <f t="shared" si="2"/>
        <v>COST</v>
      </c>
      <c r="S45" s="51" t="str">
        <f t="shared" si="3"/>
        <v/>
      </c>
      <c r="T45" s="52" t="str">
        <f t="shared" si="4"/>
        <v/>
      </c>
      <c r="U45" s="46">
        <f t="shared" si="5"/>
        <v>-2.42</v>
      </c>
      <c r="V45" s="53" t="str">
        <f>IFERROR(__xludf.DUMMYFUNCTION(" IF(Account!$F45&lt;&gt;"""", SPLIT(Account!$F45, "" ""), """")"),"Frais")</f>
        <v>Frais</v>
      </c>
      <c r="W45" s="56" t="str">
        <f>IFERROR(__xludf.DUMMYFUNCTION("""COMPUTED_VALUE"""),"de")</f>
        <v>de</v>
      </c>
      <c r="X45" s="56" t="str">
        <f>IFERROR(__xludf.DUMMYFUNCTION("""COMPUTED_VALUE"""),"courtage")</f>
        <v>courtage</v>
      </c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</row>
    <row r="46">
      <c r="A46" s="11" t="s">
        <v>290</v>
      </c>
      <c r="B46" s="11" t="s">
        <v>291</v>
      </c>
      <c r="C46" s="11" t="s">
        <v>290</v>
      </c>
      <c r="D46" s="11" t="s">
        <v>59</v>
      </c>
      <c r="E46" s="11" t="s">
        <v>60</v>
      </c>
      <c r="F46" s="12" t="s">
        <v>295</v>
      </c>
      <c r="G46" s="11"/>
      <c r="H46" s="11" t="s">
        <v>54</v>
      </c>
      <c r="I46" s="11" t="s">
        <v>296</v>
      </c>
      <c r="J46" s="11" t="s">
        <v>54</v>
      </c>
      <c r="K46" s="11" t="s">
        <v>297</v>
      </c>
      <c r="L46" s="45">
        <f t="shared" si="1"/>
        <v>48</v>
      </c>
      <c r="M46" s="46">
        <f>IFERROR(__xludf.DUMMYFUNCTION("IF(Account!$F46&lt;&gt;"""", VALUE(REGEXREPLACE($I46, ""\,"", ""."")), """")"),-2081.28)</f>
        <v>-2081.28</v>
      </c>
      <c r="N46" s="47">
        <f>IF(Account!$F46&lt;&gt;"", DATEVALUE(MID($A46,4,3) &amp; LEFT($A46,3) &amp; RIGHT($A46,4)) + TIMEVALUE($B46), "")</f>
        <v>43451.68333</v>
      </c>
      <c r="O46" s="48">
        <f>IF(Account!$F46&lt;&gt;"", DATEVALUE(MID($A46,4,3) &amp; LEFT($A46,3) &amp; RIGHT($A46,4)), "")</f>
        <v>43451</v>
      </c>
      <c r="P46" s="49" t="str">
        <f>IFERROR(VLOOKUP($Q46,Selection!$F:$G,2,false))</f>
        <v>Stocks</v>
      </c>
      <c r="Q46" s="50" t="str">
        <f>IF(AND($X46="change",$H46="EUR"),IF(AND($Z46="Crédit",$N46=$N47),$Q47,IF(AND($Z46="Débit",$N46=$N45),$Q45)),IF(OR(AND(OR($E46&lt;&gt;"",$L46=""),$M46&lt;&gt;0),$A46=""),IFERROR(VLOOKUP($E46,Selection!$E:$F,2,false)),IFERROR(VLOOKUP(SUBSTITUTE($I46,"-","",1),$K47:$Q1119,7,false),VLOOKUP($K46,$K47:$Q1119,7,false))))</f>
        <v>Vanguard S&amp;P 500 UCITS ETF</v>
      </c>
      <c r="R46" s="49" t="str">
        <f t="shared" si="2"/>
        <v>BUY</v>
      </c>
      <c r="S46" s="51">
        <f t="shared" si="3"/>
        <v>48</v>
      </c>
      <c r="T46" s="52">
        <f t="shared" si="4"/>
        <v>43.36</v>
      </c>
      <c r="U46" s="46">
        <f t="shared" si="5"/>
        <v>-2081.28</v>
      </c>
      <c r="V46" s="53" t="str">
        <f>IFERROR(__xludf.DUMMYFUNCTION(" IF(Account!$F46&lt;&gt;"""", SPLIT(Account!$F46, "" ""), """")"),"Achat")</f>
        <v>Achat</v>
      </c>
      <c r="W46" s="56">
        <f>IFERROR(__xludf.DUMMYFUNCTION("""COMPUTED_VALUE"""),48.0)</f>
        <v>48</v>
      </c>
      <c r="X46" s="56" t="str">
        <f>IFERROR(__xludf.DUMMYFUNCTION("""COMPUTED_VALUE"""),"VANGUARD")</f>
        <v>VANGUARD</v>
      </c>
      <c r="Y46" s="56" t="str">
        <f>IFERROR(__xludf.DUMMYFUNCTION("""COMPUTED_VALUE"""),"S&amp;P500@43,36")</f>
        <v>S&amp;P500@43,36</v>
      </c>
      <c r="Z46" s="56" t="str">
        <f>IFERROR(__xludf.DUMMYFUNCTION("""COMPUTED_VALUE"""),"EUR")</f>
        <v>EUR</v>
      </c>
      <c r="AA46" s="56"/>
      <c r="AB46" s="56"/>
      <c r="AC46" s="56"/>
      <c r="AD46" s="56"/>
      <c r="AE46" s="56"/>
      <c r="AF46" s="56"/>
      <c r="AG46" s="56"/>
      <c r="AH46" s="56"/>
      <c r="AI46" s="56"/>
      <c r="AJ46" s="56"/>
    </row>
    <row r="47">
      <c r="A47" s="11"/>
      <c r="B47" s="11"/>
      <c r="C47" s="11"/>
      <c r="D47" s="11"/>
      <c r="E47" s="11"/>
      <c r="F47" s="12" t="s">
        <v>299</v>
      </c>
      <c r="G47" s="11"/>
      <c r="H47" s="11"/>
      <c r="I47" s="11"/>
      <c r="J47" s="11"/>
      <c r="K47" s="11"/>
      <c r="L47" s="45" t="str">
        <f t="shared" si="1"/>
        <v/>
      </c>
      <c r="M47" s="46">
        <f>IFERROR(__xludf.DUMMYFUNCTION("IF(Account!$F47&lt;&gt;"""", VALUE(REGEXREPLACE($I47, ""\,"", ""."")), """")"),0.0)</f>
        <v>0</v>
      </c>
      <c r="N47" s="47" t="str">
        <f>IF(Account!$F47&lt;&gt;"", DATEVALUE(MID($A47,4,3) &amp; LEFT($A47,3) &amp; RIGHT($A47,4)) + TIMEVALUE($B47), "")</f>
        <v>#VALUE!</v>
      </c>
      <c r="O47" s="48" t="str">
        <f>IF(Account!$F47&lt;&gt;"", DATEVALUE(MID($A47,4,3) &amp; LEFT($A47,3) &amp; RIGHT($A47,4)), "")</f>
        <v>#VALUE!</v>
      </c>
      <c r="P47" s="49" t="str">
        <f>IFERROR(VLOOKUP($Q47,Selection!$F:$G,2,false))</f>
        <v/>
      </c>
      <c r="Q47" s="50" t="str">
        <f>IF(AND($X47="change",$H47="EUR"),IF(AND($Z47="Crédit",$N47=$N48),$Q48,IF(AND($Z47="Débit",$N47=$N46),$Q46)),IF(OR(AND(OR($E47&lt;&gt;"",$L47=""),$M47&lt;&gt;0),$A47=""),IFERROR(VLOOKUP($E47,Selection!$E:$F,2,false)),IFERROR(VLOOKUP(SUBSTITUTE($I47,"-","",1),$K48:$Q1119,7,false),VLOOKUP($K47,$K48:$Q1119,7,false))))</f>
        <v/>
      </c>
      <c r="R47" s="49" t="str">
        <f t="shared" si="2"/>
        <v>#VALUE!</v>
      </c>
      <c r="S47" s="51" t="str">
        <f t="shared" si="3"/>
        <v/>
      </c>
      <c r="T47" s="52" t="str">
        <f t="shared" si="4"/>
        <v/>
      </c>
      <c r="U47" s="46">
        <f t="shared" si="5"/>
        <v>0</v>
      </c>
      <c r="V47" s="53" t="str">
        <f>IFERROR(__xludf.DUMMYFUNCTION(" IF(Account!$F47&lt;&gt;"""", SPLIT(Account!$F47, "" ""), """")"),"(IE00B3XXRP09)")</f>
        <v>(IE00B3XXRP09)</v>
      </c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</row>
    <row r="48">
      <c r="A48" s="11" t="s">
        <v>290</v>
      </c>
      <c r="B48" s="11" t="s">
        <v>300</v>
      </c>
      <c r="C48" s="11" t="s">
        <v>290</v>
      </c>
      <c r="D48" s="11" t="s">
        <v>59</v>
      </c>
      <c r="E48" s="11" t="s">
        <v>60</v>
      </c>
      <c r="F48" s="12" t="s">
        <v>110</v>
      </c>
      <c r="G48" s="11"/>
      <c r="H48" s="11" t="s">
        <v>54</v>
      </c>
      <c r="I48" s="11" t="s">
        <v>121</v>
      </c>
      <c r="J48" s="11" t="s">
        <v>54</v>
      </c>
      <c r="K48" s="11" t="s">
        <v>301</v>
      </c>
      <c r="L48" s="45" t="str">
        <f t="shared" si="1"/>
        <v/>
      </c>
      <c r="M48" s="46">
        <f>IFERROR(__xludf.DUMMYFUNCTION("IF(Account!$F48&lt;&gt;"""", VALUE(REGEXREPLACE($I48, ""\,"", ""."")), """")"),-2.0)</f>
        <v>-2</v>
      </c>
      <c r="N48" s="47">
        <f>IF(Account!$F48&lt;&gt;"", DATEVALUE(MID($A48,4,3) &amp; LEFT($A48,3) &amp; RIGHT($A48,4)) + TIMEVALUE($B48), "")</f>
        <v>43451.67847</v>
      </c>
      <c r="O48" s="48">
        <f>IF(Account!$F48&lt;&gt;"", DATEVALUE(MID($A48,4,3) &amp; LEFT($A48,3) &amp; RIGHT($A48,4)), "")</f>
        <v>43451</v>
      </c>
      <c r="P48" s="49" t="str">
        <f>IFERROR(VLOOKUP($Q48,Selection!$F:$G,2,false))</f>
        <v>Stocks</v>
      </c>
      <c r="Q48" s="50" t="str">
        <f>IF(AND($X48="change",$H48="EUR"),IF(AND($Z48="Crédit",$N48=$N49),$Q49,IF(AND($Z48="Débit",$N48=$N47),$Q47)),IF(OR(AND(OR($E48&lt;&gt;"",$L48=""),$M48&lt;&gt;0),$A48=""),IFERROR(VLOOKUP($E48,Selection!$E:$F,2,false)),IFERROR(VLOOKUP(SUBSTITUTE($I48,"-","",1),$K49:$Q1119,7,false),VLOOKUP($K48,$K49:$Q1119,7,false))))</f>
        <v>Vanguard S&amp;P 500 UCITS ETF</v>
      </c>
      <c r="R48" s="49" t="str">
        <f t="shared" si="2"/>
        <v>COST</v>
      </c>
      <c r="S48" s="51" t="str">
        <f t="shared" si="3"/>
        <v/>
      </c>
      <c r="T48" s="52" t="str">
        <f t="shared" si="4"/>
        <v/>
      </c>
      <c r="U48" s="46">
        <f t="shared" si="5"/>
        <v>-2.52</v>
      </c>
      <c r="V48" s="53" t="str">
        <f>IFERROR(__xludf.DUMMYFUNCTION(" IF(Account!$F48&lt;&gt;"""", SPLIT(Account!$F48, "" ""), """")"),"Frais")</f>
        <v>Frais</v>
      </c>
      <c r="W48" s="56" t="str">
        <f>IFERROR(__xludf.DUMMYFUNCTION("""COMPUTED_VALUE"""),"de")</f>
        <v>de</v>
      </c>
      <c r="X48" s="56" t="str">
        <f>IFERROR(__xludf.DUMMYFUNCTION("""COMPUTED_VALUE"""),"courtage")</f>
        <v>courtage</v>
      </c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</row>
    <row r="49">
      <c r="A49" s="11" t="s">
        <v>290</v>
      </c>
      <c r="B49" s="11" t="s">
        <v>300</v>
      </c>
      <c r="C49" s="11" t="s">
        <v>290</v>
      </c>
      <c r="D49" s="11" t="s">
        <v>59</v>
      </c>
      <c r="E49" s="11" t="s">
        <v>60</v>
      </c>
      <c r="F49" s="12" t="s">
        <v>110</v>
      </c>
      <c r="G49" s="11"/>
      <c r="H49" s="11" t="s">
        <v>54</v>
      </c>
      <c r="I49" s="11" t="s">
        <v>302</v>
      </c>
      <c r="J49" s="11" t="s">
        <v>54</v>
      </c>
      <c r="K49" s="11" t="s">
        <v>303</v>
      </c>
      <c r="L49" s="45" t="str">
        <f t="shared" si="1"/>
        <v/>
      </c>
      <c r="M49" s="46">
        <f>IFERROR(__xludf.DUMMYFUNCTION("IF(Account!$F49&lt;&gt;"""", VALUE(REGEXREPLACE($I49, ""\,"", ""."")), """")"),-0.52)</f>
        <v>-0.52</v>
      </c>
      <c r="N49" s="47">
        <f>IF(Account!$F49&lt;&gt;"", DATEVALUE(MID($A49,4,3) &amp; LEFT($A49,3) &amp; RIGHT($A49,4)) + TIMEVALUE($B49), "")</f>
        <v>43451.67847</v>
      </c>
      <c r="O49" s="48">
        <f>IF(Account!$F49&lt;&gt;"", DATEVALUE(MID($A49,4,3) &amp; LEFT($A49,3) &amp; RIGHT($A49,4)), "")</f>
        <v>43451</v>
      </c>
      <c r="P49" s="49" t="str">
        <f>IFERROR(VLOOKUP($Q49,Selection!$F:$G,2,false))</f>
        <v>Stocks</v>
      </c>
      <c r="Q49" s="50" t="str">
        <f>IF(AND($X49="change",$H49="EUR"),IF(AND($Z49="Crédit",$N49=$N50),$Q50,IF(AND($Z49="Débit",$N49=$N48),$Q48)),IF(OR(AND(OR($E49&lt;&gt;"",$L49=""),$M49&lt;&gt;0),$A49=""),IFERROR(VLOOKUP($E49,Selection!$E:$F,2,false)),IFERROR(VLOOKUP(SUBSTITUTE($I49,"-","",1),$K50:$Q1119,7,false),VLOOKUP($K49,$K50:$Q1119,7,false))))</f>
        <v>Vanguard S&amp;P 500 UCITS ETF</v>
      </c>
      <c r="R49" s="49" t="str">
        <f t="shared" si="2"/>
        <v>COST</v>
      </c>
      <c r="S49" s="51" t="str">
        <f t="shared" si="3"/>
        <v/>
      </c>
      <c r="T49" s="52" t="str">
        <f t="shared" si="4"/>
        <v/>
      </c>
      <c r="U49" s="46">
        <f t="shared" si="5"/>
        <v>-2.52</v>
      </c>
      <c r="V49" s="53" t="str">
        <f>IFERROR(__xludf.DUMMYFUNCTION(" IF(Account!$F49&lt;&gt;"""", SPLIT(Account!$F49, "" ""), """")"),"Frais")</f>
        <v>Frais</v>
      </c>
      <c r="W49" s="56" t="str">
        <f>IFERROR(__xludf.DUMMYFUNCTION("""COMPUTED_VALUE"""),"de")</f>
        <v>de</v>
      </c>
      <c r="X49" s="56" t="str">
        <f>IFERROR(__xludf.DUMMYFUNCTION("""COMPUTED_VALUE"""),"courtage")</f>
        <v>courtage</v>
      </c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</row>
    <row r="50">
      <c r="A50" s="11" t="s">
        <v>290</v>
      </c>
      <c r="B50" s="11" t="s">
        <v>300</v>
      </c>
      <c r="C50" s="11" t="s">
        <v>290</v>
      </c>
      <c r="D50" s="11" t="s">
        <v>59</v>
      </c>
      <c r="E50" s="11" t="s">
        <v>60</v>
      </c>
      <c r="F50" s="12" t="s">
        <v>304</v>
      </c>
      <c r="G50" s="11"/>
      <c r="H50" s="11" t="s">
        <v>54</v>
      </c>
      <c r="I50" s="11" t="s">
        <v>305</v>
      </c>
      <c r="J50" s="11" t="s">
        <v>54</v>
      </c>
      <c r="K50" s="11" t="s">
        <v>306</v>
      </c>
      <c r="L50" s="45">
        <f t="shared" si="1"/>
        <v>60</v>
      </c>
      <c r="M50" s="46">
        <f>IFERROR(__xludf.DUMMYFUNCTION("IF(Account!$F50&lt;&gt;"""", VALUE(REGEXREPLACE($I50, ""\,"", ""."")), """")"),-2602.2)</f>
        <v>-2602.2</v>
      </c>
      <c r="N50" s="47">
        <f>IF(Account!$F50&lt;&gt;"", DATEVALUE(MID($A50,4,3) &amp; LEFT($A50,3) &amp; RIGHT($A50,4)) + TIMEVALUE($B50), "")</f>
        <v>43451.67847</v>
      </c>
      <c r="O50" s="48">
        <f>IF(Account!$F50&lt;&gt;"", DATEVALUE(MID($A50,4,3) &amp; LEFT($A50,3) &amp; RIGHT($A50,4)), "")</f>
        <v>43451</v>
      </c>
      <c r="P50" s="49" t="str">
        <f>IFERROR(VLOOKUP($Q50,Selection!$F:$G,2,false))</f>
        <v>Stocks</v>
      </c>
      <c r="Q50" s="50" t="str">
        <f>IF(AND($X50="change",$H50="EUR"),IF(AND($Z50="Crédit",$N50=$N51),$Q51,IF(AND($Z50="Débit",$N50=$N49),$Q49)),IF(OR(AND(OR($E50&lt;&gt;"",$L50=""),$M50&lt;&gt;0),$A50=""),IFERROR(VLOOKUP($E50,Selection!$E:$F,2,false)),IFERROR(VLOOKUP(SUBSTITUTE($I50,"-","",1),$K51:$Q1119,7,false),VLOOKUP($K50,$K51:$Q1119,7,false))))</f>
        <v>Vanguard S&amp;P 500 UCITS ETF</v>
      </c>
      <c r="R50" s="49" t="str">
        <f t="shared" si="2"/>
        <v>BUY</v>
      </c>
      <c r="S50" s="51">
        <f t="shared" si="3"/>
        <v>60</v>
      </c>
      <c r="T50" s="52">
        <f t="shared" si="4"/>
        <v>43.37</v>
      </c>
      <c r="U50" s="46">
        <f t="shared" si="5"/>
        <v>-2602.2</v>
      </c>
      <c r="V50" s="53" t="str">
        <f>IFERROR(__xludf.DUMMYFUNCTION(" IF(Account!$F50&lt;&gt;"""", SPLIT(Account!$F50, "" ""), """")"),"Achat")</f>
        <v>Achat</v>
      </c>
      <c r="W50" s="56">
        <f>IFERROR(__xludf.DUMMYFUNCTION("""COMPUTED_VALUE"""),60.0)</f>
        <v>60</v>
      </c>
      <c r="X50" s="56" t="str">
        <f>IFERROR(__xludf.DUMMYFUNCTION("""COMPUTED_VALUE"""),"VANGUARD")</f>
        <v>VANGUARD</v>
      </c>
      <c r="Y50" s="56" t="str">
        <f>IFERROR(__xludf.DUMMYFUNCTION("""COMPUTED_VALUE"""),"S&amp;P500@43,37")</f>
        <v>S&amp;P500@43,37</v>
      </c>
      <c r="Z50" s="56" t="str">
        <f>IFERROR(__xludf.DUMMYFUNCTION("""COMPUTED_VALUE"""),"EUR")</f>
        <v>EUR</v>
      </c>
      <c r="AA50" s="56" t="str">
        <f>IFERROR(__xludf.DUMMYFUNCTION("""COMPUTED_VALUE"""),"(IE00B3XXRP09)")</f>
        <v>(IE00B3XXRP09)</v>
      </c>
      <c r="AB50" s="56"/>
      <c r="AC50" s="56"/>
      <c r="AD50" s="56"/>
      <c r="AE50" s="56"/>
      <c r="AF50" s="56"/>
      <c r="AG50" s="56"/>
      <c r="AH50" s="56"/>
      <c r="AI50" s="56"/>
      <c r="AJ50" s="56"/>
    </row>
    <row r="51">
      <c r="A51" s="11" t="s">
        <v>290</v>
      </c>
      <c r="B51" s="11" t="s">
        <v>307</v>
      </c>
      <c r="C51" s="11" t="s">
        <v>290</v>
      </c>
      <c r="D51" s="11" t="s">
        <v>59</v>
      </c>
      <c r="E51" s="11" t="s">
        <v>60</v>
      </c>
      <c r="F51" s="12" t="s">
        <v>110</v>
      </c>
      <c r="G51" s="11"/>
      <c r="H51" s="11" t="s">
        <v>54</v>
      </c>
      <c r="I51" s="11" t="s">
        <v>121</v>
      </c>
      <c r="J51" s="11" t="s">
        <v>54</v>
      </c>
      <c r="K51" s="11" t="s">
        <v>308</v>
      </c>
      <c r="L51" s="45" t="str">
        <f t="shared" si="1"/>
        <v/>
      </c>
      <c r="M51" s="46">
        <f>IFERROR(__xludf.DUMMYFUNCTION("IF(Account!$F51&lt;&gt;"""", VALUE(REGEXREPLACE($I51, ""\,"", ""."")), """")"),-2.0)</f>
        <v>-2</v>
      </c>
      <c r="N51" s="47">
        <f>IF(Account!$F51&lt;&gt;"", DATEVALUE(MID($A51,4,3) &amp; LEFT($A51,3) &amp; RIGHT($A51,4)) + TIMEVALUE($B51), "")</f>
        <v>43451.50347</v>
      </c>
      <c r="O51" s="48">
        <f>IF(Account!$F51&lt;&gt;"", DATEVALUE(MID($A51,4,3) &amp; LEFT($A51,3) &amp; RIGHT($A51,4)), "")</f>
        <v>43451</v>
      </c>
      <c r="P51" s="49" t="str">
        <f>IFERROR(VLOOKUP($Q51,Selection!$F:$G,2,false))</f>
        <v>Stocks</v>
      </c>
      <c r="Q51" s="50" t="str">
        <f>IF(AND($X51="change",$H51="EUR"),IF(AND($Z51="Crédit",$N51=$N52),$Q52,IF(AND($Z51="Débit",$N51=$N50),$Q50)),IF(OR(AND(OR($E51&lt;&gt;"",$L51=""),$M51&lt;&gt;0),$A51=""),IFERROR(VLOOKUP($E51,Selection!$E:$F,2,false)),IFERROR(VLOOKUP(SUBSTITUTE($I51,"-","",1),$K52:$Q1119,7,false),VLOOKUP($K51,$K52:$Q1119,7,false))))</f>
        <v>Vanguard S&amp;P 500 UCITS ETF</v>
      </c>
      <c r="R51" s="49" t="str">
        <f t="shared" si="2"/>
        <v>COST</v>
      </c>
      <c r="S51" s="51" t="str">
        <f t="shared" si="3"/>
        <v/>
      </c>
      <c r="T51" s="52" t="str">
        <f t="shared" si="4"/>
        <v/>
      </c>
      <c r="U51" s="46">
        <f t="shared" si="5"/>
        <v>-2.77</v>
      </c>
      <c r="V51" s="53" t="str">
        <f>IFERROR(__xludf.DUMMYFUNCTION(" IF(Account!$F51&lt;&gt;"""", SPLIT(Account!$F51, "" ""), """")"),"Frais")</f>
        <v>Frais</v>
      </c>
      <c r="W51" s="56" t="str">
        <f>IFERROR(__xludf.DUMMYFUNCTION("""COMPUTED_VALUE"""),"de")</f>
        <v>de</v>
      </c>
      <c r="X51" s="56" t="str">
        <f>IFERROR(__xludf.DUMMYFUNCTION("""COMPUTED_VALUE"""),"courtage")</f>
        <v>courtage</v>
      </c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</row>
    <row r="52">
      <c r="A52" s="11" t="s">
        <v>290</v>
      </c>
      <c r="B52" s="11" t="s">
        <v>307</v>
      </c>
      <c r="C52" s="11" t="s">
        <v>290</v>
      </c>
      <c r="D52" s="11" t="s">
        <v>59</v>
      </c>
      <c r="E52" s="11" t="s">
        <v>60</v>
      </c>
      <c r="F52" s="12" t="s">
        <v>110</v>
      </c>
      <c r="G52" s="11"/>
      <c r="H52" s="11" t="s">
        <v>54</v>
      </c>
      <c r="I52" s="11" t="s">
        <v>309</v>
      </c>
      <c r="J52" s="11" t="s">
        <v>54</v>
      </c>
      <c r="K52" s="11" t="s">
        <v>310</v>
      </c>
      <c r="L52" s="45" t="str">
        <f t="shared" si="1"/>
        <v/>
      </c>
      <c r="M52" s="46">
        <f>IFERROR(__xludf.DUMMYFUNCTION("IF(Account!$F52&lt;&gt;"""", VALUE(REGEXREPLACE($I52, ""\,"", ""."")), """")"),-0.77)</f>
        <v>-0.77</v>
      </c>
      <c r="N52" s="47">
        <f>IF(Account!$F52&lt;&gt;"", DATEVALUE(MID($A52,4,3) &amp; LEFT($A52,3) &amp; RIGHT($A52,4)) + TIMEVALUE($B52), "")</f>
        <v>43451.50347</v>
      </c>
      <c r="O52" s="48">
        <f>IF(Account!$F52&lt;&gt;"", DATEVALUE(MID($A52,4,3) &amp; LEFT($A52,3) &amp; RIGHT($A52,4)), "")</f>
        <v>43451</v>
      </c>
      <c r="P52" s="49" t="str">
        <f>IFERROR(VLOOKUP($Q52,Selection!$F:$G,2,false))</f>
        <v>Stocks</v>
      </c>
      <c r="Q52" s="50" t="str">
        <f>IF(AND($X52="change",$H52="EUR"),IF(AND($Z52="Crédit",$N52=$N53),$Q53,IF(AND($Z52="Débit",$N52=$N51),$Q51)),IF(OR(AND(OR($E52&lt;&gt;"",$L52=""),$M52&lt;&gt;0),$A52=""),IFERROR(VLOOKUP($E52,Selection!$E:$F,2,false)),IFERROR(VLOOKUP(SUBSTITUTE($I52,"-","",1),$K53:$Q1119,7,false),VLOOKUP($K52,$K53:$Q1119,7,false))))</f>
        <v>Vanguard S&amp;P 500 UCITS ETF</v>
      </c>
      <c r="R52" s="49" t="str">
        <f t="shared" si="2"/>
        <v>COST</v>
      </c>
      <c r="S52" s="51" t="str">
        <f t="shared" si="3"/>
        <v/>
      </c>
      <c r="T52" s="52" t="str">
        <f t="shared" si="4"/>
        <v/>
      </c>
      <c r="U52" s="46">
        <f t="shared" si="5"/>
        <v>-2.77</v>
      </c>
      <c r="V52" s="53" t="str">
        <f>IFERROR(__xludf.DUMMYFUNCTION(" IF(Account!$F52&lt;&gt;"""", SPLIT(Account!$F52, "" ""), """")"),"Frais")</f>
        <v>Frais</v>
      </c>
      <c r="W52" s="56" t="str">
        <f>IFERROR(__xludf.DUMMYFUNCTION("""COMPUTED_VALUE"""),"de")</f>
        <v>de</v>
      </c>
      <c r="X52" s="56" t="str">
        <f>IFERROR(__xludf.DUMMYFUNCTION("""COMPUTED_VALUE"""),"courtage")</f>
        <v>courtage</v>
      </c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</row>
    <row r="53">
      <c r="A53" s="11" t="s">
        <v>290</v>
      </c>
      <c r="B53" s="11" t="s">
        <v>307</v>
      </c>
      <c r="C53" s="11" t="s">
        <v>290</v>
      </c>
      <c r="D53" s="11" t="s">
        <v>59</v>
      </c>
      <c r="E53" s="11" t="s">
        <v>60</v>
      </c>
      <c r="F53" s="12" t="s">
        <v>311</v>
      </c>
      <c r="G53" s="11"/>
      <c r="H53" s="11" t="s">
        <v>54</v>
      </c>
      <c r="I53" s="11" t="s">
        <v>312</v>
      </c>
      <c r="J53" s="11" t="s">
        <v>54</v>
      </c>
      <c r="K53" s="11" t="s">
        <v>313</v>
      </c>
      <c r="L53" s="45">
        <f t="shared" si="1"/>
        <v>88</v>
      </c>
      <c r="M53" s="46">
        <f>IFERROR(__xludf.DUMMYFUNCTION("IF(Account!$F53&lt;&gt;"""", VALUE(REGEXREPLACE($I53, ""\,"", ""."")), """")"),-3845.6)</f>
        <v>-3845.6</v>
      </c>
      <c r="N53" s="47">
        <f>IF(Account!$F53&lt;&gt;"", DATEVALUE(MID($A53,4,3) &amp; LEFT($A53,3) &amp; RIGHT($A53,4)) + TIMEVALUE($B53), "")</f>
        <v>43451.50347</v>
      </c>
      <c r="O53" s="48">
        <f>IF(Account!$F53&lt;&gt;"", DATEVALUE(MID($A53,4,3) &amp; LEFT($A53,3) &amp; RIGHT($A53,4)), "")</f>
        <v>43451</v>
      </c>
      <c r="P53" s="49" t="str">
        <f>IFERROR(VLOOKUP($Q53,Selection!$F:$G,2,false))</f>
        <v>Stocks</v>
      </c>
      <c r="Q53" s="50" t="str">
        <f>IF(AND($X53="change",$H53="EUR"),IF(AND($Z53="Crédit",$N53=$N54),$Q54,IF(AND($Z53="Débit",$N53=$N52),$Q52)),IF(OR(AND(OR($E53&lt;&gt;"",$L53=""),$M53&lt;&gt;0),$A53=""),IFERROR(VLOOKUP($E53,Selection!$E:$F,2,false)),IFERROR(VLOOKUP(SUBSTITUTE($I53,"-","",1),$K54:$Q1119,7,false),VLOOKUP($K53,$K54:$Q1119,7,false))))</f>
        <v>Vanguard S&amp;P 500 UCITS ETF</v>
      </c>
      <c r="R53" s="49" t="str">
        <f t="shared" si="2"/>
        <v>BUY</v>
      </c>
      <c r="S53" s="51">
        <f t="shared" si="3"/>
        <v>88</v>
      </c>
      <c r="T53" s="52">
        <f t="shared" si="4"/>
        <v>43.7</v>
      </c>
      <c r="U53" s="46">
        <f t="shared" si="5"/>
        <v>-3845.6</v>
      </c>
      <c r="V53" s="53" t="str">
        <f>IFERROR(__xludf.DUMMYFUNCTION(" IF(Account!$F53&lt;&gt;"""", SPLIT(Account!$F53, "" ""), """")"),"Achat")</f>
        <v>Achat</v>
      </c>
      <c r="W53" s="56">
        <f>IFERROR(__xludf.DUMMYFUNCTION("""COMPUTED_VALUE"""),88.0)</f>
        <v>88</v>
      </c>
      <c r="X53" s="56" t="str">
        <f>IFERROR(__xludf.DUMMYFUNCTION("""COMPUTED_VALUE"""),"VANGUARD")</f>
        <v>VANGUARD</v>
      </c>
      <c r="Y53" s="56" t="str">
        <f>IFERROR(__xludf.DUMMYFUNCTION("""COMPUTED_VALUE"""),"S&amp;P500@43,7")</f>
        <v>S&amp;P500@43,7</v>
      </c>
      <c r="Z53" s="56" t="str">
        <f>IFERROR(__xludf.DUMMYFUNCTION("""COMPUTED_VALUE"""),"EUR")</f>
        <v>EUR</v>
      </c>
      <c r="AA53" s="56" t="str">
        <f>IFERROR(__xludf.DUMMYFUNCTION("""COMPUTED_VALUE"""),"(IE00B3XXRP09)")</f>
        <v>(IE00B3XXRP09)</v>
      </c>
      <c r="AB53" s="56"/>
      <c r="AC53" s="56"/>
      <c r="AD53" s="56"/>
      <c r="AE53" s="56"/>
      <c r="AF53" s="56"/>
      <c r="AG53" s="56"/>
      <c r="AH53" s="56"/>
      <c r="AI53" s="56"/>
      <c r="AJ53" s="56"/>
    </row>
    <row r="54">
      <c r="A54" s="11" t="s">
        <v>315</v>
      </c>
      <c r="B54" s="11" t="s">
        <v>316</v>
      </c>
      <c r="C54" s="11" t="s">
        <v>315</v>
      </c>
      <c r="D54" s="11" t="s">
        <v>59</v>
      </c>
      <c r="E54" s="11" t="s">
        <v>60</v>
      </c>
      <c r="F54" s="12" t="s">
        <v>110</v>
      </c>
      <c r="G54" s="11"/>
      <c r="H54" s="11" t="s">
        <v>54</v>
      </c>
      <c r="I54" s="11" t="s">
        <v>121</v>
      </c>
      <c r="J54" s="11" t="s">
        <v>54</v>
      </c>
      <c r="K54" s="11" t="s">
        <v>317</v>
      </c>
      <c r="L54" s="45" t="str">
        <f t="shared" si="1"/>
        <v/>
      </c>
      <c r="M54" s="46">
        <f>IFERROR(__xludf.DUMMYFUNCTION("IF(Account!$F54&lt;&gt;"""", VALUE(REGEXREPLACE($I54, ""\,"", ""."")), """")"),-2.0)</f>
        <v>-2</v>
      </c>
      <c r="N54" s="47">
        <f>IF(Account!$F54&lt;&gt;"", DATEVALUE(MID($A54,4,3) &amp; LEFT($A54,3) &amp; RIGHT($A54,4)) + TIMEVALUE($B54), "")</f>
        <v>43448.65764</v>
      </c>
      <c r="O54" s="48">
        <f>IF(Account!$F54&lt;&gt;"", DATEVALUE(MID($A54,4,3) &amp; LEFT($A54,3) &amp; RIGHT($A54,4)), "")</f>
        <v>43448</v>
      </c>
      <c r="P54" s="49" t="str">
        <f>IFERROR(VLOOKUP($Q54,Selection!$F:$G,2,false))</f>
        <v>Stocks</v>
      </c>
      <c r="Q54" s="50" t="str">
        <f>IF(AND($X54="change",$H54="EUR"),IF(AND($Z54="Crédit",$N54=$N55),$Q55,IF(AND($Z54="Débit",$N54=$N53),$Q53)),IF(OR(AND(OR($E54&lt;&gt;"",$L54=""),$M54&lt;&gt;0),$A54=""),IFERROR(VLOOKUP($E54,Selection!$E:$F,2,false)),IFERROR(VLOOKUP(SUBSTITUTE($I54,"-","",1),$K55:$Q1119,7,false),VLOOKUP($K54,$K55:$Q1119,7,false))))</f>
        <v>Vanguard S&amp;P 500 UCITS ETF</v>
      </c>
      <c r="R54" s="49" t="str">
        <f t="shared" si="2"/>
        <v>COST</v>
      </c>
      <c r="S54" s="51" t="str">
        <f t="shared" si="3"/>
        <v/>
      </c>
      <c r="T54" s="52" t="str">
        <f t="shared" si="4"/>
        <v/>
      </c>
      <c r="U54" s="46">
        <f t="shared" si="5"/>
        <v>-3.69</v>
      </c>
      <c r="V54" s="53" t="str">
        <f>IFERROR(__xludf.DUMMYFUNCTION(" IF(Account!$F54&lt;&gt;"""", SPLIT(Account!$F54, "" ""), """")"),"Frais")</f>
        <v>Frais</v>
      </c>
      <c r="W54" s="56" t="str">
        <f>IFERROR(__xludf.DUMMYFUNCTION("""COMPUTED_VALUE"""),"de")</f>
        <v>de</v>
      </c>
      <c r="X54" s="56" t="str">
        <f>IFERROR(__xludf.DUMMYFUNCTION("""COMPUTED_VALUE"""),"courtage")</f>
        <v>courtage</v>
      </c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</row>
    <row r="55">
      <c r="A55" s="11" t="s">
        <v>315</v>
      </c>
      <c r="B55" s="11" t="s">
        <v>316</v>
      </c>
      <c r="C55" s="11" t="s">
        <v>315</v>
      </c>
      <c r="D55" s="11" t="s">
        <v>59</v>
      </c>
      <c r="E55" s="11" t="s">
        <v>60</v>
      </c>
      <c r="F55" s="12" t="s">
        <v>110</v>
      </c>
      <c r="G55" s="11"/>
      <c r="H55" s="11" t="s">
        <v>54</v>
      </c>
      <c r="I55" s="11" t="s">
        <v>318</v>
      </c>
      <c r="J55" s="11" t="s">
        <v>54</v>
      </c>
      <c r="K55" s="11" t="s">
        <v>319</v>
      </c>
      <c r="L55" s="45" t="str">
        <f t="shared" si="1"/>
        <v/>
      </c>
      <c r="M55" s="46">
        <f>IFERROR(__xludf.DUMMYFUNCTION("IF(Account!$F55&lt;&gt;"""", VALUE(REGEXREPLACE($I55, ""\,"", ""."")), """")"),-1.69)</f>
        <v>-1.69</v>
      </c>
      <c r="N55" s="47">
        <f>IF(Account!$F55&lt;&gt;"", DATEVALUE(MID($A55,4,3) &amp; LEFT($A55,3) &amp; RIGHT($A55,4)) + TIMEVALUE($B55), "")</f>
        <v>43448.65764</v>
      </c>
      <c r="O55" s="48">
        <f>IF(Account!$F55&lt;&gt;"", DATEVALUE(MID($A55,4,3) &amp; LEFT($A55,3) &amp; RIGHT($A55,4)), "")</f>
        <v>43448</v>
      </c>
      <c r="P55" s="49" t="str">
        <f>IFERROR(VLOOKUP($Q55,Selection!$F:$G,2,false))</f>
        <v>Stocks</v>
      </c>
      <c r="Q55" s="50" t="str">
        <f>IF(AND($X55="change",$H55="EUR"),IF(AND($Z55="Crédit",$N55=$N56),$Q56,IF(AND($Z55="Débit",$N55=$N54),$Q54)),IF(OR(AND(OR($E55&lt;&gt;"",$L55=""),$M55&lt;&gt;0),$A55=""),IFERROR(VLOOKUP($E55,Selection!$E:$F,2,false)),IFERROR(VLOOKUP(SUBSTITUTE($I55,"-","",1),$K56:$Q1119,7,false),VLOOKUP($K55,$K56:$Q1119,7,false))))</f>
        <v>Vanguard S&amp;P 500 UCITS ETF</v>
      </c>
      <c r="R55" s="49" t="str">
        <f t="shared" si="2"/>
        <v>COST</v>
      </c>
      <c r="S55" s="51" t="str">
        <f t="shared" si="3"/>
        <v/>
      </c>
      <c r="T55" s="52" t="str">
        <f t="shared" si="4"/>
        <v/>
      </c>
      <c r="U55" s="46">
        <f t="shared" si="5"/>
        <v>-3.69</v>
      </c>
      <c r="V55" s="53" t="str">
        <f>IFERROR(__xludf.DUMMYFUNCTION(" IF(Account!$F55&lt;&gt;"""", SPLIT(Account!$F55, "" ""), """")"),"Frais")</f>
        <v>Frais</v>
      </c>
      <c r="W55" s="56" t="str">
        <f>IFERROR(__xludf.DUMMYFUNCTION("""COMPUTED_VALUE"""),"de")</f>
        <v>de</v>
      </c>
      <c r="X55" s="56" t="str">
        <f>IFERROR(__xludf.DUMMYFUNCTION("""COMPUTED_VALUE"""),"courtage")</f>
        <v>courtage</v>
      </c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</row>
    <row r="56">
      <c r="A56" s="11" t="s">
        <v>315</v>
      </c>
      <c r="B56" s="11" t="s">
        <v>316</v>
      </c>
      <c r="C56" s="11" t="s">
        <v>315</v>
      </c>
      <c r="D56" s="11" t="s">
        <v>59</v>
      </c>
      <c r="E56" s="11" t="s">
        <v>60</v>
      </c>
      <c r="F56" s="12" t="s">
        <v>320</v>
      </c>
      <c r="G56" s="11"/>
      <c r="H56" s="11" t="s">
        <v>54</v>
      </c>
      <c r="I56" s="11" t="s">
        <v>321</v>
      </c>
      <c r="J56" s="11" t="s">
        <v>54</v>
      </c>
      <c r="K56" s="11" t="s">
        <v>322</v>
      </c>
      <c r="L56" s="45">
        <f t="shared" si="1"/>
        <v>-190</v>
      </c>
      <c r="M56" s="46">
        <f>IFERROR(__xludf.DUMMYFUNCTION("IF(Account!$F56&lt;&gt;"""", VALUE(REGEXREPLACE($I56, ""\,"", ""."")), """")"),8434.1)</f>
        <v>8434.1</v>
      </c>
      <c r="N56" s="47">
        <f>IF(Account!$F56&lt;&gt;"", DATEVALUE(MID($A56,4,3) &amp; LEFT($A56,3) &amp; RIGHT($A56,4)) + TIMEVALUE($B56), "")</f>
        <v>43448.65764</v>
      </c>
      <c r="O56" s="48">
        <f>IF(Account!$F56&lt;&gt;"", DATEVALUE(MID($A56,4,3) &amp; LEFT($A56,3) &amp; RIGHT($A56,4)), "")</f>
        <v>43448</v>
      </c>
      <c r="P56" s="49" t="str">
        <f>IFERROR(VLOOKUP($Q56,Selection!$F:$G,2,false))</f>
        <v>Stocks</v>
      </c>
      <c r="Q56" s="50" t="str">
        <f>IF(AND($X56="change",$H56="EUR"),IF(AND($Z56="Crédit",$N56=$N57),$Q57,IF(AND($Z56="Débit",$N56=$N55),$Q55)),IF(OR(AND(OR($E56&lt;&gt;"",$L56=""),$M56&lt;&gt;0),$A56=""),IFERROR(VLOOKUP($E56,Selection!$E:$F,2,false)),IFERROR(VLOOKUP(SUBSTITUTE($I56,"-","",1),$K57:$Q1119,7,false),VLOOKUP($K56,$K57:$Q1119,7,false))))</f>
        <v>Vanguard S&amp;P 500 UCITS ETF</v>
      </c>
      <c r="R56" s="49" t="str">
        <f t="shared" si="2"/>
        <v>SELL</v>
      </c>
      <c r="S56" s="51">
        <f t="shared" si="3"/>
        <v>-190</v>
      </c>
      <c r="T56" s="52">
        <f t="shared" si="4"/>
        <v>44.39</v>
      </c>
      <c r="U56" s="46">
        <f t="shared" si="5"/>
        <v>8434.1</v>
      </c>
      <c r="V56" s="53" t="str">
        <f>IFERROR(__xludf.DUMMYFUNCTION(" IF(Account!$F56&lt;&gt;"""", SPLIT(Account!$F56, "" ""), """")"),"Vente")</f>
        <v>Vente</v>
      </c>
      <c r="W56" s="56">
        <f>IFERROR(__xludf.DUMMYFUNCTION("""COMPUTED_VALUE"""),190.0)</f>
        <v>190</v>
      </c>
      <c r="X56" s="56" t="str">
        <f>IFERROR(__xludf.DUMMYFUNCTION("""COMPUTED_VALUE"""),"VANGUARD")</f>
        <v>VANGUARD</v>
      </c>
      <c r="Y56" s="56" t="str">
        <f>IFERROR(__xludf.DUMMYFUNCTION("""COMPUTED_VALUE"""),"S&amp;P500@44,39")</f>
        <v>S&amp;P500@44,39</v>
      </c>
      <c r="Z56" s="56" t="str">
        <f>IFERROR(__xludf.DUMMYFUNCTION("""COMPUTED_VALUE"""),"EUR")</f>
        <v>EUR</v>
      </c>
      <c r="AA56" s="56" t="str">
        <f>IFERROR(__xludf.DUMMYFUNCTION("""COMPUTED_VALUE"""),"(IE00B3XXRP09)")</f>
        <v>(IE00B3XXRP09)</v>
      </c>
      <c r="AB56" s="56"/>
      <c r="AC56" s="56"/>
      <c r="AD56" s="56"/>
      <c r="AE56" s="56"/>
      <c r="AF56" s="56"/>
      <c r="AG56" s="56"/>
      <c r="AH56" s="56"/>
      <c r="AI56" s="56"/>
      <c r="AJ56" s="56"/>
    </row>
    <row r="57">
      <c r="A57" s="11" t="s">
        <v>323</v>
      </c>
      <c r="B57" s="11" t="s">
        <v>324</v>
      </c>
      <c r="C57" s="11" t="s">
        <v>323</v>
      </c>
      <c r="D57" s="11" t="s">
        <v>65</v>
      </c>
      <c r="E57" s="11" t="s">
        <v>66</v>
      </c>
      <c r="F57" s="12" t="s">
        <v>325</v>
      </c>
      <c r="G57" s="11"/>
      <c r="H57" s="11" t="s">
        <v>54</v>
      </c>
      <c r="I57" s="11" t="s">
        <v>326</v>
      </c>
      <c r="J57" s="11" t="s">
        <v>54</v>
      </c>
      <c r="K57" s="11" t="s">
        <v>327</v>
      </c>
      <c r="L57" s="45">
        <f t="shared" si="1"/>
        <v>1</v>
      </c>
      <c r="M57" s="46">
        <f>IFERROR(__xludf.DUMMYFUNCTION("IF(Account!$F57&lt;&gt;"""", VALUE(REGEXREPLACE($I57, ""\,"", ""."")), """")"),-7.36)</f>
        <v>-7.36</v>
      </c>
      <c r="N57" s="47">
        <f>IF(Account!$F57&lt;&gt;"", DATEVALUE(MID($A57,4,3) &amp; LEFT($A57,3) &amp; RIGHT($A57,4)) + TIMEVALUE($B57), "")</f>
        <v>43441.37847</v>
      </c>
      <c r="O57" s="48">
        <f>IF(Account!$F57&lt;&gt;"", DATEVALUE(MID($A57,4,3) &amp; LEFT($A57,3) &amp; RIGHT($A57,4)), "")</f>
        <v>43441</v>
      </c>
      <c r="P57" s="49" t="str">
        <f>IFERROR(VLOOKUP($Q57,Selection!$F:$G,2,false))</f>
        <v>Commodities</v>
      </c>
      <c r="Q57" s="50" t="str">
        <f>IF(AND($X57="change",$H57="EUR"),IF(AND($Z57="Crédit",$N57=$N58),$Q58,IF(AND($Z57="Débit",$N57=$N56),$Q56)),IF(OR(AND(OR($E57&lt;&gt;"",$L57=""),$M57&lt;&gt;0),$A57=""),IFERROR(VLOOKUP($E57,Selection!$E:$F,2,false)),IFERROR(VLOOKUP(SUBSTITUTE($I57,"-","",1),$K58:$Q1119,7,false),VLOOKUP($K57,$K58:$Q1119,7,false))))</f>
        <v>ETFS All Commodities</v>
      </c>
      <c r="R57" s="49" t="str">
        <f t="shared" si="2"/>
        <v>BUY</v>
      </c>
      <c r="S57" s="51">
        <f t="shared" si="3"/>
        <v>255</v>
      </c>
      <c r="T57" s="52">
        <f t="shared" si="4"/>
        <v>7.357019608</v>
      </c>
      <c r="U57" s="46">
        <f t="shared" si="5"/>
        <v>-1876.04</v>
      </c>
      <c r="V57" s="53" t="str">
        <f>IFERROR(__xludf.DUMMYFUNCTION(" IF(Account!$F57&lt;&gt;"""", SPLIT(Account!$F57, "" ""), """")"),"Achat")</f>
        <v>Achat</v>
      </c>
      <c r="W57" s="56">
        <f>IFERROR(__xludf.DUMMYFUNCTION("""COMPUTED_VALUE"""),1.0)</f>
        <v>1</v>
      </c>
      <c r="X57" s="56" t="str">
        <f>IFERROR(__xludf.DUMMYFUNCTION("""COMPUTED_VALUE"""),"ETFS")</f>
        <v>ETFS</v>
      </c>
      <c r="Y57" s="56" t="str">
        <f>IFERROR(__xludf.DUMMYFUNCTION("""COMPUTED_VALUE"""),"ALL")</f>
        <v>ALL</v>
      </c>
      <c r="Z57" s="56" t="str">
        <f>IFERROR(__xludf.DUMMYFUNCTION("""COMPUTED_VALUE"""),"COMMODIT.@7,357")</f>
        <v>COMMODIT.@7,357</v>
      </c>
      <c r="AA57" s="56" t="str">
        <f>IFERROR(__xludf.DUMMYFUNCTION("""COMPUTED_VALUE"""),"EUR")</f>
        <v>EUR</v>
      </c>
      <c r="AB57" s="56" t="str">
        <f>IFERROR(__xludf.DUMMYFUNCTION("""COMPUTED_VALUE"""),"(GB00B15KY989)")</f>
        <v>(GB00B15KY989)</v>
      </c>
      <c r="AC57" s="56"/>
      <c r="AD57" s="56"/>
      <c r="AE57" s="56"/>
      <c r="AF57" s="56"/>
      <c r="AG57" s="56"/>
      <c r="AH57" s="56"/>
      <c r="AI57" s="56"/>
      <c r="AJ57" s="56"/>
    </row>
    <row r="58">
      <c r="A58" s="11" t="s">
        <v>323</v>
      </c>
      <c r="B58" s="11" t="s">
        <v>324</v>
      </c>
      <c r="C58" s="11" t="s">
        <v>323</v>
      </c>
      <c r="D58" s="11" t="s">
        <v>65</v>
      </c>
      <c r="E58" s="11" t="s">
        <v>66</v>
      </c>
      <c r="F58" s="12" t="s">
        <v>328</v>
      </c>
      <c r="G58" s="11"/>
      <c r="H58" s="11" t="s">
        <v>54</v>
      </c>
      <c r="I58" s="11" t="s">
        <v>329</v>
      </c>
      <c r="J58" s="11" t="s">
        <v>54</v>
      </c>
      <c r="K58" s="11" t="s">
        <v>330</v>
      </c>
      <c r="L58" s="45">
        <f t="shared" si="1"/>
        <v>254</v>
      </c>
      <c r="M58" s="46">
        <f>IFERROR(__xludf.DUMMYFUNCTION("IF(Account!$F58&lt;&gt;"""", VALUE(REGEXREPLACE($I58, ""\,"", ""."")), """")"),-1868.68)</f>
        <v>-1868.68</v>
      </c>
      <c r="N58" s="47">
        <f>IF(Account!$F58&lt;&gt;"", DATEVALUE(MID($A58,4,3) &amp; LEFT($A58,3) &amp; RIGHT($A58,4)) + TIMEVALUE($B58), "")</f>
        <v>43441.37847</v>
      </c>
      <c r="O58" s="48">
        <f>IF(Account!$F58&lt;&gt;"", DATEVALUE(MID($A58,4,3) &amp; LEFT($A58,3) &amp; RIGHT($A58,4)), "")</f>
        <v>43441</v>
      </c>
      <c r="P58" s="49" t="str">
        <f>IFERROR(VLOOKUP($Q58,Selection!$F:$G,2,false))</f>
        <v>Commodities</v>
      </c>
      <c r="Q58" s="50" t="str">
        <f>IF(AND($X58="change",$H58="EUR"),IF(AND($Z58="Crédit",$N58=$N59),$Q59,IF(AND($Z58="Débit",$N58=$N57),$Q57)),IF(OR(AND(OR($E58&lt;&gt;"",$L58=""),$M58&lt;&gt;0),$A58=""),IFERROR(VLOOKUP($E58,Selection!$E:$F,2,false)),IFERROR(VLOOKUP(SUBSTITUTE($I58,"-","",1),$K59:$Q1119,7,false),VLOOKUP($K58,$K59:$Q1119,7,false))))</f>
        <v>ETFS All Commodities</v>
      </c>
      <c r="R58" s="49" t="str">
        <f t="shared" si="2"/>
        <v>BUY</v>
      </c>
      <c r="S58" s="51">
        <f t="shared" si="3"/>
        <v>255</v>
      </c>
      <c r="T58" s="52">
        <f t="shared" si="4"/>
        <v>7.357019608</v>
      </c>
      <c r="U58" s="46">
        <f t="shared" si="5"/>
        <v>-1876.04</v>
      </c>
      <c r="V58" s="53" t="str">
        <f>IFERROR(__xludf.DUMMYFUNCTION(" IF(Account!$F58&lt;&gt;"""", SPLIT(Account!$F58, "" ""), """")"),"Achat")</f>
        <v>Achat</v>
      </c>
      <c r="W58" s="56">
        <f>IFERROR(__xludf.DUMMYFUNCTION("""COMPUTED_VALUE"""),254.0)</f>
        <v>254</v>
      </c>
      <c r="X58" s="56" t="str">
        <f>IFERROR(__xludf.DUMMYFUNCTION("""COMPUTED_VALUE"""),"ETFS")</f>
        <v>ETFS</v>
      </c>
      <c r="Y58" s="56" t="str">
        <f>IFERROR(__xludf.DUMMYFUNCTION("""COMPUTED_VALUE"""),"ALL")</f>
        <v>ALL</v>
      </c>
      <c r="Z58" s="56" t="str">
        <f>IFERROR(__xludf.DUMMYFUNCTION("""COMPUTED_VALUE"""),"COMMODIT.@7,357")</f>
        <v>COMMODIT.@7,357</v>
      </c>
      <c r="AA58" s="56" t="str">
        <f>IFERROR(__xludf.DUMMYFUNCTION("""COMPUTED_VALUE"""),"EUR")</f>
        <v>EUR</v>
      </c>
      <c r="AB58" s="56" t="str">
        <f>IFERROR(__xludf.DUMMYFUNCTION("""COMPUTED_VALUE"""),"(GB00B15KY989)")</f>
        <v>(GB00B15KY989)</v>
      </c>
      <c r="AC58" s="56"/>
      <c r="AD58" s="56"/>
      <c r="AE58" s="56"/>
      <c r="AF58" s="56"/>
      <c r="AG58" s="56"/>
      <c r="AH58" s="56"/>
      <c r="AI58" s="56"/>
      <c r="AJ58" s="56"/>
    </row>
    <row r="59">
      <c r="A59" s="11" t="s">
        <v>323</v>
      </c>
      <c r="B59" s="11" t="s">
        <v>324</v>
      </c>
      <c r="C59" s="11" t="s">
        <v>323</v>
      </c>
      <c r="D59" s="11" t="s">
        <v>59</v>
      </c>
      <c r="E59" s="11" t="s">
        <v>60</v>
      </c>
      <c r="F59" s="12" t="s">
        <v>332</v>
      </c>
      <c r="G59" s="11"/>
      <c r="H59" s="11" t="s">
        <v>54</v>
      </c>
      <c r="I59" s="11" t="s">
        <v>333</v>
      </c>
      <c r="J59" s="11" t="s">
        <v>54</v>
      </c>
      <c r="K59" s="11" t="s">
        <v>334</v>
      </c>
      <c r="L59" s="45">
        <f t="shared" si="1"/>
        <v>91</v>
      </c>
      <c r="M59" s="46">
        <f>IFERROR(__xludf.DUMMYFUNCTION("IF(Account!$F59&lt;&gt;"""", VALUE(REGEXREPLACE($I59, ""\,"", ""."")), """")"),-4070.88)</f>
        <v>-4070.88</v>
      </c>
      <c r="N59" s="47">
        <f>IF(Account!$F59&lt;&gt;"", DATEVALUE(MID($A59,4,3) &amp; LEFT($A59,3) &amp; RIGHT($A59,4)) + TIMEVALUE($B59), "")</f>
        <v>43441.37847</v>
      </c>
      <c r="O59" s="48">
        <f>IF(Account!$F59&lt;&gt;"", DATEVALUE(MID($A59,4,3) &amp; LEFT($A59,3) &amp; RIGHT($A59,4)), "")</f>
        <v>43441</v>
      </c>
      <c r="P59" s="49" t="str">
        <f>IFERROR(VLOOKUP($Q59,Selection!$F:$G,2,false))</f>
        <v>Stocks</v>
      </c>
      <c r="Q59" s="50" t="str">
        <f>IF(AND($X59="change",$H59="EUR"),IF(AND($Z59="Crédit",$N59=$N60),$Q60,IF(AND($Z59="Débit",$N59=$N58),$Q58)),IF(OR(AND(OR($E59&lt;&gt;"",$L59=""),$M59&lt;&gt;0),$A59=""),IFERROR(VLOOKUP($E59,Selection!$E:$F,2,false)),IFERROR(VLOOKUP(SUBSTITUTE($I59,"-","",1),$K60:$Q1119,7,false),VLOOKUP($K59,$K60:$Q1119,7,false))))</f>
        <v>Vanguard S&amp;P 500 UCITS ETF</v>
      </c>
      <c r="R59" s="49" t="str">
        <f t="shared" si="2"/>
        <v>BUY</v>
      </c>
      <c r="S59" s="51">
        <f t="shared" si="3"/>
        <v>91</v>
      </c>
      <c r="T59" s="52">
        <f t="shared" si="4"/>
        <v>44.73494505</v>
      </c>
      <c r="U59" s="46">
        <f t="shared" si="5"/>
        <v>-4070.88</v>
      </c>
      <c r="V59" s="53" t="str">
        <f>IFERROR(__xludf.DUMMYFUNCTION(" IF(Account!$F59&lt;&gt;"""", SPLIT(Account!$F59, "" ""), """")"),"Achat")</f>
        <v>Achat</v>
      </c>
      <c r="W59" s="56">
        <f>IFERROR(__xludf.DUMMYFUNCTION("""COMPUTED_VALUE"""),91.0)</f>
        <v>91</v>
      </c>
      <c r="X59" s="56" t="str">
        <f>IFERROR(__xludf.DUMMYFUNCTION("""COMPUTED_VALUE"""),"VANGUARD")</f>
        <v>VANGUARD</v>
      </c>
      <c r="Y59" s="56" t="str">
        <f>IFERROR(__xludf.DUMMYFUNCTION("""COMPUTED_VALUE"""),"S&amp;P500@44,735")</f>
        <v>S&amp;P500@44,735</v>
      </c>
      <c r="Z59" s="56" t="str">
        <f>IFERROR(__xludf.DUMMYFUNCTION("""COMPUTED_VALUE"""),"EUR")</f>
        <v>EUR</v>
      </c>
      <c r="AA59" s="56" t="str">
        <f>IFERROR(__xludf.DUMMYFUNCTION("""COMPUTED_VALUE"""),"(IE00B3XXRP09)")</f>
        <v>(IE00B3XXRP09)</v>
      </c>
      <c r="AB59" s="56"/>
      <c r="AC59" s="56"/>
      <c r="AD59" s="56"/>
      <c r="AE59" s="56"/>
      <c r="AF59" s="56"/>
      <c r="AG59" s="56"/>
      <c r="AH59" s="56"/>
      <c r="AI59" s="56"/>
      <c r="AJ59" s="56"/>
    </row>
    <row r="60">
      <c r="A60" s="11" t="s">
        <v>335</v>
      </c>
      <c r="B60" s="11" t="s">
        <v>336</v>
      </c>
      <c r="C60" s="11" t="s">
        <v>335</v>
      </c>
      <c r="D60" s="11" t="s">
        <v>88</v>
      </c>
      <c r="E60" s="11" t="s">
        <v>89</v>
      </c>
      <c r="F60" s="12" t="s">
        <v>80</v>
      </c>
      <c r="G60" s="11" t="s">
        <v>337</v>
      </c>
      <c r="H60" s="11" t="s">
        <v>82</v>
      </c>
      <c r="I60" s="11" t="s">
        <v>338</v>
      </c>
      <c r="J60" s="11" t="s">
        <v>82</v>
      </c>
      <c r="K60" s="11" t="s">
        <v>192</v>
      </c>
      <c r="L60" s="45">
        <f t="shared" si="1"/>
        <v>0</v>
      </c>
      <c r="M60" s="46">
        <f>IFERROR(__xludf.DUMMYFUNCTION("IF(Account!$F60&lt;&gt;"""", VALUE(REGEXREPLACE($I60, ""\,"", ""."")), """")"),-1759.69)</f>
        <v>-1759.69</v>
      </c>
      <c r="N60" s="47">
        <f>IF(Account!$F60&lt;&gt;"", DATEVALUE(MID($A60,4,3) &amp; LEFT($A60,3) &amp; RIGHT($A60,4)) + TIMEVALUE($B60), "")</f>
        <v>43440.67431</v>
      </c>
      <c r="O60" s="48">
        <f>IF(Account!$F60&lt;&gt;"", DATEVALUE(MID($A60,4,3) &amp; LEFT($A60,3) &amp; RIGHT($A60,4)), "")</f>
        <v>43440</v>
      </c>
      <c r="P60" s="49" t="str">
        <f>IFERROR(VLOOKUP($Q60,Selection!$F:$G,2,false))</f>
        <v>Long term US bonds (20-25 year)</v>
      </c>
      <c r="Q60" s="50" t="str">
        <f>IF(AND($X60="change",$H60="EUR"),IF(AND($Z60="Crédit",$N60=$N61),$Q61,IF(AND($Z60="Débit",$N60=$N59),$Q59)),IF(OR(AND(OR($E60&lt;&gt;"",$L60=""),$M60&lt;&gt;0),$A60=""),IFERROR(VLOOKUP($E60,Selection!$E:$F,2,false)),IFERROR(VLOOKUP(SUBSTITUTE($I60,"-","",1),$K61:$Q1119,7,false),VLOOKUP($K60,$K61:$Q1119,7,false))))</f>
        <v>iShares USD Treasury Bond 20+yr UCITS ETF</v>
      </c>
      <c r="R60" s="49" t="str">
        <f t="shared" si="2"/>
        <v>SELL</v>
      </c>
      <c r="S60" s="51">
        <f t="shared" si="3"/>
        <v>-392</v>
      </c>
      <c r="T60" s="52">
        <f t="shared" si="4"/>
        <v>3.935153061</v>
      </c>
      <c r="U60" s="46">
        <f t="shared" si="5"/>
        <v>1542.58</v>
      </c>
      <c r="V60" s="53" t="str">
        <f>IFERROR(__xludf.DUMMYFUNCTION(" IF(Account!$F60&lt;&gt;"""", SPLIT(Account!$F60, "" ""), """")"),"Opération")</f>
        <v>Opération</v>
      </c>
      <c r="W60" s="56" t="str">
        <f>IFERROR(__xludf.DUMMYFUNCTION("""COMPUTED_VALUE"""),"de")</f>
        <v>de</v>
      </c>
      <c r="X60" s="56" t="str">
        <f>IFERROR(__xludf.DUMMYFUNCTION("""COMPUTED_VALUE"""),"change")</f>
        <v>change</v>
      </c>
      <c r="Y60" s="56" t="str">
        <f>IFERROR(__xludf.DUMMYFUNCTION("""COMPUTED_VALUE"""),"-")</f>
        <v>-</v>
      </c>
      <c r="Z60" s="56" t="str">
        <f>IFERROR(__xludf.DUMMYFUNCTION("""COMPUTED_VALUE"""),"Débit")</f>
        <v>Débit</v>
      </c>
      <c r="AA60" s="56"/>
      <c r="AB60" s="56"/>
      <c r="AC60" s="56"/>
      <c r="AD60" s="56"/>
      <c r="AE60" s="56"/>
      <c r="AF60" s="56"/>
      <c r="AG60" s="56"/>
      <c r="AH60" s="56"/>
      <c r="AI60" s="56"/>
      <c r="AJ60" s="56"/>
    </row>
    <row r="61">
      <c r="A61" s="11" t="s">
        <v>335</v>
      </c>
      <c r="B61" s="11" t="s">
        <v>336</v>
      </c>
      <c r="C61" s="11" t="s">
        <v>335</v>
      </c>
      <c r="D61" s="11" t="s">
        <v>88</v>
      </c>
      <c r="E61" s="11" t="s">
        <v>89</v>
      </c>
      <c r="F61" s="12" t="s">
        <v>77</v>
      </c>
      <c r="G61" s="11"/>
      <c r="H61" s="11" t="s">
        <v>54</v>
      </c>
      <c r="I61" s="11" t="s">
        <v>339</v>
      </c>
      <c r="J61" s="11" t="s">
        <v>54</v>
      </c>
      <c r="K61" s="11" t="s">
        <v>340</v>
      </c>
      <c r="L61" s="45">
        <f t="shared" si="1"/>
        <v>0</v>
      </c>
      <c r="M61" s="46">
        <f>IFERROR(__xludf.DUMMYFUNCTION("IF(Account!$F61&lt;&gt;"""", VALUE(REGEXREPLACE($I61, ""\,"", ""."")), """")"),1542.58)</f>
        <v>1542.58</v>
      </c>
      <c r="N61" s="47">
        <f>IF(Account!$F61&lt;&gt;"", DATEVALUE(MID($A61,4,3) &amp; LEFT($A61,3) &amp; RIGHT($A61,4)) + TIMEVALUE($B61), "")</f>
        <v>43440.67431</v>
      </c>
      <c r="O61" s="48">
        <f>IF(Account!$F61&lt;&gt;"", DATEVALUE(MID($A61,4,3) &amp; LEFT($A61,3) &amp; RIGHT($A61,4)), "")</f>
        <v>43440</v>
      </c>
      <c r="P61" s="49" t="str">
        <f>IFERROR(VLOOKUP($Q61,Selection!$F:$G,2,false))</f>
        <v>Long term US bonds (20-25 year)</v>
      </c>
      <c r="Q61" s="50" t="str">
        <f>IF(AND($X61="change",$H61="EUR"),IF(AND($Z61="Crédit",$N61=$N62),$Q62,IF(AND($Z61="Débit",$N61=$N60),$Q60)),IF(OR(AND(OR($E61&lt;&gt;"",$L61=""),$M61&lt;&gt;0),$A61=""),IFERROR(VLOOKUP($E61,Selection!$E:$F,2,false)),IFERROR(VLOOKUP(SUBSTITUTE($I61,"-","",1),$K62:$Q1119,7,false),VLOOKUP($K61,$K62:$Q1119,7,false))))</f>
        <v>iShares USD Treasury Bond 20+yr UCITS ETF</v>
      </c>
      <c r="R61" s="49" t="str">
        <f t="shared" si="2"/>
        <v>SELL</v>
      </c>
      <c r="S61" s="51">
        <f t="shared" si="3"/>
        <v>-392</v>
      </c>
      <c r="T61" s="52">
        <f t="shared" si="4"/>
        <v>3.935153061</v>
      </c>
      <c r="U61" s="46">
        <f t="shared" si="5"/>
        <v>1542.58</v>
      </c>
      <c r="V61" s="53" t="str">
        <f>IFERROR(__xludf.DUMMYFUNCTION(" IF(Account!$F61&lt;&gt;"""", SPLIT(Account!$F61, "" ""), """")"),"Operation")</f>
        <v>Operation</v>
      </c>
      <c r="W61" s="56" t="str">
        <f>IFERROR(__xludf.DUMMYFUNCTION("""COMPUTED_VALUE"""),"de")</f>
        <v>de</v>
      </c>
      <c r="X61" s="56" t="str">
        <f>IFERROR(__xludf.DUMMYFUNCTION("""COMPUTED_VALUE"""),"change")</f>
        <v>change</v>
      </c>
      <c r="Y61" s="56" t="str">
        <f>IFERROR(__xludf.DUMMYFUNCTION("""COMPUTED_VALUE"""),"-")</f>
        <v>-</v>
      </c>
      <c r="Z61" s="56" t="str">
        <f>IFERROR(__xludf.DUMMYFUNCTION("""COMPUTED_VALUE"""),"Crédit")</f>
        <v>Crédit</v>
      </c>
      <c r="AA61" s="56"/>
      <c r="AB61" s="56"/>
      <c r="AC61" s="56"/>
      <c r="AD61" s="56"/>
      <c r="AE61" s="56"/>
      <c r="AF61" s="56"/>
      <c r="AG61" s="56"/>
      <c r="AH61" s="56"/>
      <c r="AI61" s="56"/>
      <c r="AJ61" s="56"/>
    </row>
    <row r="62">
      <c r="A62" s="11" t="s">
        <v>335</v>
      </c>
      <c r="B62" s="11" t="s">
        <v>336</v>
      </c>
      <c r="C62" s="11" t="s">
        <v>335</v>
      </c>
      <c r="D62" s="11" t="s">
        <v>88</v>
      </c>
      <c r="E62" s="11" t="s">
        <v>89</v>
      </c>
      <c r="F62" s="12" t="s">
        <v>110</v>
      </c>
      <c r="G62" s="11"/>
      <c r="H62" s="11" t="s">
        <v>54</v>
      </c>
      <c r="I62" s="11" t="s">
        <v>121</v>
      </c>
      <c r="J62" s="11" t="s">
        <v>54</v>
      </c>
      <c r="K62" s="11" t="s">
        <v>341</v>
      </c>
      <c r="L62" s="45" t="str">
        <f t="shared" si="1"/>
        <v/>
      </c>
      <c r="M62" s="46">
        <f>IFERROR(__xludf.DUMMYFUNCTION("IF(Account!$F62&lt;&gt;"""", VALUE(REGEXREPLACE($I62, ""\,"", ""."")), """")"),-2.0)</f>
        <v>-2</v>
      </c>
      <c r="N62" s="47">
        <f>IF(Account!$F62&lt;&gt;"", DATEVALUE(MID($A62,4,3) &amp; LEFT($A62,3) &amp; RIGHT($A62,4)) + TIMEVALUE($B62), "")</f>
        <v>43440.67431</v>
      </c>
      <c r="O62" s="48">
        <f>IF(Account!$F62&lt;&gt;"", DATEVALUE(MID($A62,4,3) &amp; LEFT($A62,3) &amp; RIGHT($A62,4)), "")</f>
        <v>43440</v>
      </c>
      <c r="P62" s="49" t="str">
        <f>IFERROR(VLOOKUP($Q62,Selection!$F:$G,2,false))</f>
        <v>Long term US bonds (20-25 year)</v>
      </c>
      <c r="Q62" s="50" t="str">
        <f>IF(AND($X62="change",$H62="EUR"),IF(AND($Z62="Crédit",$N62=$N63),$Q63,IF(AND($Z62="Débit",$N62=$N61),$Q61)),IF(OR(AND(OR($E62&lt;&gt;"",$L62=""),$M62&lt;&gt;0),$A62=""),IFERROR(VLOOKUP($E62,Selection!$E:$F,2,false)),IFERROR(VLOOKUP(SUBSTITUTE($I62,"-","",1),$K63:$Q1119,7,false),VLOOKUP($K62,$K63:$Q1119,7,false))))</f>
        <v>iShares USD Treasury Bond 20+yr UCITS ETF</v>
      </c>
      <c r="R62" s="49" t="str">
        <f t="shared" si="2"/>
        <v>COST</v>
      </c>
      <c r="S62" s="51" t="str">
        <f t="shared" si="3"/>
        <v/>
      </c>
      <c r="T62" s="52" t="str">
        <f t="shared" si="4"/>
        <v/>
      </c>
      <c r="U62" s="46">
        <f t="shared" si="5"/>
        <v>-2.31</v>
      </c>
      <c r="V62" s="53" t="str">
        <f>IFERROR(__xludf.DUMMYFUNCTION(" IF(Account!$F62&lt;&gt;"""", SPLIT(Account!$F62, "" ""), """")"),"Frais")</f>
        <v>Frais</v>
      </c>
      <c r="W62" s="56" t="str">
        <f>IFERROR(__xludf.DUMMYFUNCTION("""COMPUTED_VALUE"""),"de")</f>
        <v>de</v>
      </c>
      <c r="X62" s="56" t="str">
        <f>IFERROR(__xludf.DUMMYFUNCTION("""COMPUTED_VALUE"""),"courtage")</f>
        <v>courtage</v>
      </c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</row>
    <row r="63">
      <c r="A63" s="11" t="s">
        <v>335</v>
      </c>
      <c r="B63" s="11" t="s">
        <v>336</v>
      </c>
      <c r="C63" s="11" t="s">
        <v>335</v>
      </c>
      <c r="D63" s="11" t="s">
        <v>88</v>
      </c>
      <c r="E63" s="11" t="s">
        <v>89</v>
      </c>
      <c r="F63" s="12" t="s">
        <v>110</v>
      </c>
      <c r="G63" s="11"/>
      <c r="H63" s="11" t="s">
        <v>54</v>
      </c>
      <c r="I63" s="11" t="s">
        <v>343</v>
      </c>
      <c r="J63" s="11" t="s">
        <v>54</v>
      </c>
      <c r="K63" s="11" t="s">
        <v>344</v>
      </c>
      <c r="L63" s="45" t="str">
        <f t="shared" si="1"/>
        <v/>
      </c>
      <c r="M63" s="46">
        <f>IFERROR(__xludf.DUMMYFUNCTION("IF(Account!$F63&lt;&gt;"""", VALUE(REGEXREPLACE($I63, ""\,"", ""."")), """")"),-0.31)</f>
        <v>-0.31</v>
      </c>
      <c r="N63" s="47">
        <f>IF(Account!$F63&lt;&gt;"", DATEVALUE(MID($A63,4,3) &amp; LEFT($A63,3) &amp; RIGHT($A63,4)) + TIMEVALUE($B63), "")</f>
        <v>43440.67431</v>
      </c>
      <c r="O63" s="48">
        <f>IF(Account!$F63&lt;&gt;"", DATEVALUE(MID($A63,4,3) &amp; LEFT($A63,3) &amp; RIGHT($A63,4)), "")</f>
        <v>43440</v>
      </c>
      <c r="P63" s="49" t="str">
        <f>IFERROR(VLOOKUP($Q63,Selection!$F:$G,2,false))</f>
        <v>Long term US bonds (20-25 year)</v>
      </c>
      <c r="Q63" s="50" t="str">
        <f>IF(AND($X63="change",$H63="EUR"),IF(AND($Z63="Crédit",$N63=$N64),$Q64,IF(AND($Z63="Débit",$N63=$N62),$Q62)),IF(OR(AND(OR($E63&lt;&gt;"",$L63=""),$M63&lt;&gt;0),$A63=""),IFERROR(VLOOKUP($E63,Selection!$E:$F,2,false)),IFERROR(VLOOKUP(SUBSTITUTE($I63,"-","",1),$K64:$Q1119,7,false),VLOOKUP($K63,$K64:$Q1119,7,false))))</f>
        <v>iShares USD Treasury Bond 20+yr UCITS ETF</v>
      </c>
      <c r="R63" s="49" t="str">
        <f t="shared" si="2"/>
        <v>COST</v>
      </c>
      <c r="S63" s="51" t="str">
        <f t="shared" si="3"/>
        <v/>
      </c>
      <c r="T63" s="52" t="str">
        <f t="shared" si="4"/>
        <v/>
      </c>
      <c r="U63" s="46">
        <f t="shared" si="5"/>
        <v>-2.31</v>
      </c>
      <c r="V63" s="53" t="str">
        <f>IFERROR(__xludf.DUMMYFUNCTION(" IF(Account!$F63&lt;&gt;"""", SPLIT(Account!$F63, "" ""), """")"),"Frais")</f>
        <v>Frais</v>
      </c>
      <c r="W63" s="56" t="str">
        <f>IFERROR(__xludf.DUMMYFUNCTION("""COMPUTED_VALUE"""),"de")</f>
        <v>de</v>
      </c>
      <c r="X63" s="56" t="str">
        <f>IFERROR(__xludf.DUMMYFUNCTION("""COMPUTED_VALUE"""),"courtage")</f>
        <v>courtage</v>
      </c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</row>
    <row r="64">
      <c r="A64" s="11" t="s">
        <v>335</v>
      </c>
      <c r="B64" s="11" t="s">
        <v>336</v>
      </c>
      <c r="C64" s="11" t="s">
        <v>335</v>
      </c>
      <c r="D64" s="11" t="s">
        <v>88</v>
      </c>
      <c r="E64" s="11" t="s">
        <v>89</v>
      </c>
      <c r="F64" s="12" t="s">
        <v>345</v>
      </c>
      <c r="G64" s="11"/>
      <c r="H64" s="11" t="s">
        <v>82</v>
      </c>
      <c r="I64" s="11" t="s">
        <v>346</v>
      </c>
      <c r="J64" s="11" t="s">
        <v>82</v>
      </c>
      <c r="K64" s="11" t="s">
        <v>346</v>
      </c>
      <c r="L64" s="45">
        <f t="shared" si="1"/>
        <v>-392</v>
      </c>
      <c r="M64" s="46">
        <f>IFERROR(__xludf.DUMMYFUNCTION("IF(Account!$F64&lt;&gt;"""", VALUE(REGEXREPLACE($I64, ""\,"", ""."")), """")"),1759.69)</f>
        <v>1759.69</v>
      </c>
      <c r="N64" s="47">
        <f>IF(Account!$F64&lt;&gt;"", DATEVALUE(MID($A64,4,3) &amp; LEFT($A64,3) &amp; RIGHT($A64,4)) + TIMEVALUE($B64), "")</f>
        <v>43440.67431</v>
      </c>
      <c r="O64" s="48">
        <f>IF(Account!$F64&lt;&gt;"", DATEVALUE(MID($A64,4,3) &amp; LEFT($A64,3) &amp; RIGHT($A64,4)), "")</f>
        <v>43440</v>
      </c>
      <c r="P64" s="49" t="str">
        <f>IFERROR(VLOOKUP($Q64,Selection!$F:$G,2,false))</f>
        <v>Long term US bonds (20-25 year)</v>
      </c>
      <c r="Q64" s="50" t="str">
        <f>IF(AND($X64="change",$H64="EUR"),IF(AND($Z64="Crédit",$N64=$N65),$Q65,IF(AND($Z64="Débit",$N64=$N63),$Q63)),IF(OR(AND(OR($E64&lt;&gt;"",$L64=""),$M64&lt;&gt;0),$A64=""),IFERROR(VLOOKUP($E64,Selection!$E:$F,2,false)),IFERROR(VLOOKUP(SUBSTITUTE($I64,"-","",1),$K65:$Q1119,7,false),VLOOKUP($K64,$K65:$Q1119,7,false))))</f>
        <v>iShares USD Treasury Bond 20+yr UCITS ETF</v>
      </c>
      <c r="R64" s="49" t="str">
        <f t="shared" si="2"/>
        <v>SELL</v>
      </c>
      <c r="S64" s="51">
        <f t="shared" si="3"/>
        <v>-392</v>
      </c>
      <c r="T64" s="52">
        <f t="shared" si="4"/>
        <v>3.935153061</v>
      </c>
      <c r="U64" s="46">
        <f t="shared" si="5"/>
        <v>1542.58</v>
      </c>
      <c r="V64" s="53" t="str">
        <f>IFERROR(__xludf.DUMMYFUNCTION(" IF(Account!$F64&lt;&gt;"""", SPLIT(Account!$F64, "" ""), """")"),"Vente")</f>
        <v>Vente</v>
      </c>
      <c r="W64" s="56">
        <f>IFERROR(__xludf.DUMMYFUNCTION("""COMPUTED_VALUE"""),392.0)</f>
        <v>392</v>
      </c>
      <c r="X64" s="56" t="str">
        <f>IFERROR(__xludf.DUMMYFUNCTION("""COMPUTED_VALUE"""),"ISH")</f>
        <v>ISH</v>
      </c>
      <c r="Y64" s="56" t="str">
        <f>IFERROR(__xludf.DUMMYFUNCTION("""COMPUTED_VALUE"""),"$")</f>
        <v>$</v>
      </c>
      <c r="Z64" s="56" t="str">
        <f>IFERROR(__xludf.DUMMYFUNCTION("""COMPUTED_VALUE"""),"TRESU")</f>
        <v>TRESU</v>
      </c>
      <c r="AA64" s="56" t="str">
        <f>IFERROR(__xludf.DUMMYFUNCTION("""COMPUTED_VALUE"""),"20+@4,489")</f>
        <v>20+@4,489</v>
      </c>
      <c r="AB64" s="56" t="str">
        <f>IFERROR(__xludf.DUMMYFUNCTION("""COMPUTED_VALUE"""),"USD")</f>
        <v>USD</v>
      </c>
      <c r="AC64" s="56" t="str">
        <f>IFERROR(__xludf.DUMMYFUNCTION("""COMPUTED_VALUE"""),"(IE00BSKRJZ44)")</f>
        <v>(IE00BSKRJZ44)</v>
      </c>
      <c r="AD64" s="56"/>
      <c r="AE64" s="56"/>
      <c r="AF64" s="56"/>
      <c r="AG64" s="56"/>
      <c r="AH64" s="56"/>
      <c r="AI64" s="56"/>
      <c r="AJ64" s="56"/>
    </row>
    <row r="65">
      <c r="A65" s="11" t="s">
        <v>335</v>
      </c>
      <c r="B65" s="11" t="s">
        <v>347</v>
      </c>
      <c r="C65" s="11" t="s">
        <v>335</v>
      </c>
      <c r="D65" s="11" t="s">
        <v>59</v>
      </c>
      <c r="E65" s="11" t="s">
        <v>60</v>
      </c>
      <c r="F65" s="12" t="s">
        <v>348</v>
      </c>
      <c r="G65" s="11"/>
      <c r="H65" s="11" t="s">
        <v>54</v>
      </c>
      <c r="I65" s="11" t="s">
        <v>349</v>
      </c>
      <c r="J65" s="11" t="s">
        <v>54</v>
      </c>
      <c r="K65" s="11" t="s">
        <v>350</v>
      </c>
      <c r="L65" s="45">
        <f t="shared" si="1"/>
        <v>236</v>
      </c>
      <c r="M65" s="46">
        <f>IFERROR(__xludf.DUMMYFUNCTION("IF(Account!$F65&lt;&gt;"""", VALUE(REGEXREPLACE($I65, ""\,"", ""."")), """")"),-10520.41)</f>
        <v>-10520.41</v>
      </c>
      <c r="N65" s="47">
        <f>IF(Account!$F65&lt;&gt;"", DATEVALUE(MID($A65,4,3) &amp; LEFT($A65,3) &amp; RIGHT($A65,4)) + TIMEVALUE($B65), "")</f>
        <v>43440.49306</v>
      </c>
      <c r="O65" s="48">
        <f>IF(Account!$F65&lt;&gt;"", DATEVALUE(MID($A65,4,3) &amp; LEFT($A65,3) &amp; RIGHT($A65,4)), "")</f>
        <v>43440</v>
      </c>
      <c r="P65" s="49" t="str">
        <f>IFERROR(VLOOKUP($Q65,Selection!$F:$G,2,false))</f>
        <v>Stocks</v>
      </c>
      <c r="Q65" s="50" t="str">
        <f>IF(AND($X65="change",$H65="EUR"),IF(AND($Z65="Crédit",$N65=$N66),$Q66,IF(AND($Z65="Débit",$N65=$N64),$Q64)),IF(OR(AND(OR($E65&lt;&gt;"",$L65=""),$M65&lt;&gt;0),$A65=""),IFERROR(VLOOKUP($E65,Selection!$E:$F,2,false)),IFERROR(VLOOKUP(SUBSTITUTE($I65,"-","",1),$K66:$Q1119,7,false),VLOOKUP($K65,$K66:$Q1119,7,false))))</f>
        <v>Vanguard S&amp;P 500 UCITS ETF</v>
      </c>
      <c r="R65" s="49" t="str">
        <f t="shared" si="2"/>
        <v>BUY</v>
      </c>
      <c r="S65" s="51">
        <f t="shared" si="3"/>
        <v>236</v>
      </c>
      <c r="T65" s="52">
        <f t="shared" si="4"/>
        <v>44.57800847</v>
      </c>
      <c r="U65" s="46">
        <f t="shared" si="5"/>
        <v>-10520.41</v>
      </c>
      <c r="V65" s="53" t="str">
        <f>IFERROR(__xludf.DUMMYFUNCTION(" IF(Account!$F65&lt;&gt;"""", SPLIT(Account!$F65, "" ""), """")"),"Achat")</f>
        <v>Achat</v>
      </c>
      <c r="W65" s="56">
        <f>IFERROR(__xludf.DUMMYFUNCTION("""COMPUTED_VALUE"""),236.0)</f>
        <v>236</v>
      </c>
      <c r="X65" s="56" t="str">
        <f>IFERROR(__xludf.DUMMYFUNCTION("""COMPUTED_VALUE"""),"VANGUARD")</f>
        <v>VANGUARD</v>
      </c>
      <c r="Y65" s="56" t="str">
        <f>IFERROR(__xludf.DUMMYFUNCTION("""COMPUTED_VALUE"""),"S&amp;P500@44,578")</f>
        <v>S&amp;P500@44,578</v>
      </c>
      <c r="Z65" s="56" t="str">
        <f>IFERROR(__xludf.DUMMYFUNCTION("""COMPUTED_VALUE"""),"EUR")</f>
        <v>EUR</v>
      </c>
      <c r="AA65" s="56" t="str">
        <f>IFERROR(__xludf.DUMMYFUNCTION("""COMPUTED_VALUE"""),"(IE00B3XXRP09)")</f>
        <v>(IE00B3XXRP09)</v>
      </c>
      <c r="AB65" s="56"/>
      <c r="AC65" s="56"/>
      <c r="AD65" s="56"/>
      <c r="AE65" s="56"/>
      <c r="AF65" s="56"/>
      <c r="AG65" s="56"/>
      <c r="AH65" s="56"/>
      <c r="AI65" s="56"/>
      <c r="AJ65" s="56"/>
    </row>
    <row r="66">
      <c r="A66" s="11" t="s">
        <v>351</v>
      </c>
      <c r="B66" s="11" t="s">
        <v>352</v>
      </c>
      <c r="C66" s="11" t="s">
        <v>353</v>
      </c>
      <c r="D66" s="11"/>
      <c r="E66" s="11"/>
      <c r="F66" s="12" t="s">
        <v>72</v>
      </c>
      <c r="G66" s="11"/>
      <c r="H66" s="11" t="s">
        <v>54</v>
      </c>
      <c r="I66" s="11" t="s">
        <v>354</v>
      </c>
      <c r="J66" s="11" t="s">
        <v>54</v>
      </c>
      <c r="K66" s="11" t="s">
        <v>355</v>
      </c>
      <c r="L66" s="45" t="str">
        <f t="shared" si="1"/>
        <v/>
      </c>
      <c r="M66" s="46">
        <f>IFERROR(__xludf.DUMMYFUNCTION("IF(Account!$F66&lt;&gt;"""", VALUE(REGEXREPLACE($I66, ""\,"", ""."")), """")"),-579.07)</f>
        <v>-579.07</v>
      </c>
      <c r="N66" s="47">
        <f>IF(Account!$F66&lt;&gt;"", DATEVALUE(MID($A66,4,3) &amp; LEFT($A66,3) &amp; RIGHT($A66,4)) + TIMEVALUE($B66), "")</f>
        <v>43438.72639</v>
      </c>
      <c r="O66" s="48">
        <f>IF(Account!$F66&lt;&gt;"", DATEVALUE(MID($A66,4,3) &amp; LEFT($A66,3) &amp; RIGHT($A66,4)), "")</f>
        <v>43438</v>
      </c>
      <c r="P66" s="49" t="str">
        <f>IFERROR(VLOOKUP($Q66,Selection!$F:$G,2,false))</f>
        <v/>
      </c>
      <c r="Q66" s="50" t="str">
        <f>IF(AND($X66="change",$H66="EUR"),IF(AND($Z66="Crédit",$N66=$N67),$Q67,IF(AND($Z66="Débit",$N66=$N65),$Q65)),IF(OR(AND(OR($E66&lt;&gt;"",$L66=""),$M66&lt;&gt;0),$A66=""),IFERROR(VLOOKUP($E66,Selection!$E:$F,2,false)),IFERROR(VLOOKUP(SUBSTITUTE($I66,"-","",1),$K67:$Q1119,7,false),VLOOKUP($K66,$K67:$Q1119,7,false))))</f>
        <v/>
      </c>
      <c r="R66" s="49" t="str">
        <f t="shared" si="2"/>
        <v>COST</v>
      </c>
      <c r="S66" s="51" t="str">
        <f t="shared" si="3"/>
        <v/>
      </c>
      <c r="T66" s="52" t="str">
        <f t="shared" si="4"/>
        <v/>
      </c>
      <c r="U66" s="46">
        <f t="shared" si="5"/>
        <v>-579.07</v>
      </c>
      <c r="V66" s="53" t="str">
        <f>IFERROR(__xludf.DUMMYFUNCTION(" IF(Account!$F66&lt;&gt;"""", SPLIT(Account!$F66, "" ""), """")"),"Intérêts")</f>
        <v>Intérêts</v>
      </c>
      <c r="W66" s="56" t="str">
        <f>IFERROR(__xludf.DUMMYFUNCTION("""COMPUTED_VALUE"""),"débiteurs")</f>
        <v>débiteurs</v>
      </c>
      <c r="X66" s="56" t="str">
        <f>IFERROR(__xludf.DUMMYFUNCTION("""COMPUTED_VALUE"""),"mensuels")</f>
        <v>mensuels</v>
      </c>
      <c r="Y66" s="56" t="str">
        <f>IFERROR(__xludf.DUMMYFUNCTION("""COMPUTED_VALUE"""),"(Débit")</f>
        <v>(Débit</v>
      </c>
      <c r="Z66" s="56" t="str">
        <f>IFERROR(__xludf.DUMMYFUNCTION("""COMPUTED_VALUE"""),"Argent)")</f>
        <v>Argent)</v>
      </c>
      <c r="AA66" s="56"/>
      <c r="AB66" s="56"/>
      <c r="AC66" s="56"/>
      <c r="AD66" s="56"/>
      <c r="AE66" s="56"/>
      <c r="AF66" s="56"/>
      <c r="AG66" s="56"/>
      <c r="AH66" s="56"/>
      <c r="AI66" s="56"/>
      <c r="AJ66" s="56"/>
    </row>
    <row r="67">
      <c r="A67" s="11" t="s">
        <v>351</v>
      </c>
      <c r="B67" s="11" t="s">
        <v>356</v>
      </c>
      <c r="C67" s="11" t="s">
        <v>351</v>
      </c>
      <c r="D67" s="11"/>
      <c r="E67" s="11"/>
      <c r="F67" s="12" t="s">
        <v>357</v>
      </c>
      <c r="G67" s="11"/>
      <c r="H67" s="11" t="s">
        <v>54</v>
      </c>
      <c r="I67" s="11" t="s">
        <v>55</v>
      </c>
      <c r="J67" s="11" t="s">
        <v>54</v>
      </c>
      <c r="K67" s="11" t="s">
        <v>358</v>
      </c>
      <c r="L67" s="45" t="str">
        <f t="shared" si="1"/>
        <v/>
      </c>
      <c r="M67" s="46">
        <f>IFERROR(__xludf.DUMMYFUNCTION("IF(Account!$F67&lt;&gt;"""", VALUE(REGEXREPLACE($I67, ""\,"", ""."")), """")"),-1500.0)</f>
        <v>-1500</v>
      </c>
      <c r="N67" s="47">
        <f>IF(Account!$F67&lt;&gt;"", DATEVALUE(MID($A67,4,3) &amp; LEFT($A67,3) &amp; RIGHT($A67,4)) + TIMEVALUE($B67), "")</f>
        <v>43438.62917</v>
      </c>
      <c r="O67" s="48">
        <f>IF(Account!$F67&lt;&gt;"", DATEVALUE(MID($A67,4,3) &amp; LEFT($A67,3) &amp; RIGHT($A67,4)), "")</f>
        <v>43438</v>
      </c>
      <c r="P67" s="49" t="str">
        <f>IFERROR(VLOOKUP($Q67,Selection!$F:$G,2,false))</f>
        <v/>
      </c>
      <c r="Q67" s="50" t="str">
        <f>IF(AND($X67="change",$H67="EUR"),IF(AND($Z67="Crédit",$N67=$N68),$Q68,IF(AND($Z67="Débit",$N67=$N66),$Q66)),IF(OR(AND(OR($E67&lt;&gt;"",$L67=""),$M67&lt;&gt;0),$A67=""),IFERROR(VLOOKUP($E67,Selection!$E:$F,2,false)),IFERROR(VLOOKUP(SUBSTITUTE($I67,"-","",1),$K68:$Q1119,7,false),VLOOKUP($K67,$K68:$Q1119,7,false))))</f>
        <v/>
      </c>
      <c r="R67" s="49" t="str">
        <f t="shared" si="2"/>
        <v>APPROVISIONNEMENT</v>
      </c>
      <c r="S67" s="51" t="str">
        <f t="shared" si="3"/>
        <v/>
      </c>
      <c r="T67" s="52" t="str">
        <f t="shared" si="4"/>
        <v/>
      </c>
      <c r="U67" s="46">
        <f t="shared" si="5"/>
        <v>-1500</v>
      </c>
      <c r="V67" s="53" t="str">
        <f>IFERROR(__xludf.DUMMYFUNCTION(" IF(Account!$F67&lt;&gt;"""", SPLIT(Account!$F67, "" ""), """")"),"Retrait")</f>
        <v>Retrait</v>
      </c>
      <c r="W67" s="56" t="str">
        <f>IFERROR(__xludf.DUMMYFUNCTION("""COMPUTED_VALUE"""),"de")</f>
        <v>de</v>
      </c>
      <c r="X67" s="56" t="str">
        <f>IFERROR(__xludf.DUMMYFUNCTION("""COMPUTED_VALUE"""),"fonds")</f>
        <v>fonds</v>
      </c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</row>
    <row r="68">
      <c r="A68" s="11"/>
      <c r="B68" s="11"/>
      <c r="C68" s="11"/>
      <c r="D68" s="11"/>
      <c r="E68" s="11"/>
      <c r="F68" s="12"/>
      <c r="G68" s="11"/>
      <c r="H68" s="11"/>
      <c r="I68" s="11"/>
      <c r="J68" s="11"/>
      <c r="K68" s="11"/>
      <c r="L68" s="45" t="str">
        <f t="shared" si="1"/>
        <v/>
      </c>
      <c r="M68" s="46" t="str">
        <f>IFERROR(__xludf.DUMMYFUNCTION("IF(Account!$F68&lt;&gt;"""", VALUE(REGEXREPLACE($I68, ""\,"", ""."")), """")"),"")</f>
        <v/>
      </c>
      <c r="N68" s="47" t="str">
        <f>IF(Account!$F68&lt;&gt;"", DATEVALUE(MID($A68,4,3) &amp; LEFT($A68,3) &amp; RIGHT($A68,4)) + TIMEVALUE($B68), "")</f>
        <v/>
      </c>
      <c r="O68" s="48" t="str">
        <f>IF(Account!$F68&lt;&gt;"", DATEVALUE(MID($A68,4,3) &amp; LEFT($A68,3) &amp; RIGHT($A68,4)), "")</f>
        <v/>
      </c>
      <c r="P68" s="49" t="str">
        <f>IFERROR(VLOOKUP($Q68,Selection!$F:$G,2,false))</f>
        <v/>
      </c>
      <c r="Q68" s="50" t="str">
        <f>IF(AND($X68="change",$H68="EUR"),IF(AND($Z68="Crédit",$N68=$N69),$Q69,IF(AND($Z68="Débit",$N68=$N67),$Q67)),IF(OR(AND(OR($E68&lt;&gt;"",$L68=""),$M68&lt;&gt;0),$A68=""),IFERROR(VLOOKUP($E68,Selection!$E:$F,2,false)),IFERROR(VLOOKUP(SUBSTITUTE($I68,"-","",1),$K69:$Q1119,7,false),VLOOKUP($K68,$K69:$Q1119,7,false))))</f>
        <v/>
      </c>
      <c r="R68" s="49" t="str">
        <f t="shared" si="2"/>
        <v/>
      </c>
      <c r="S68" s="51" t="str">
        <f t="shared" si="3"/>
        <v/>
      </c>
      <c r="T68" s="52" t="str">
        <f t="shared" si="4"/>
        <v/>
      </c>
      <c r="U68" s="46" t="str">
        <f t="shared" si="5"/>
        <v/>
      </c>
      <c r="V68" s="53" t="str">
        <f>IFERROR(__xludf.DUMMYFUNCTION(" IF(Account!$F68&lt;&gt;"""", SPLIT(Account!$F68, "" ""), """")"),"")</f>
        <v/>
      </c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</row>
    <row r="69">
      <c r="A69" s="11"/>
      <c r="B69" s="11"/>
      <c r="C69" s="11"/>
      <c r="D69" s="11"/>
      <c r="E69" s="11"/>
      <c r="F69" s="12"/>
      <c r="G69" s="11"/>
      <c r="H69" s="11"/>
      <c r="I69" s="11"/>
      <c r="J69" s="11"/>
      <c r="K69" s="11"/>
      <c r="L69" s="45" t="str">
        <f t="shared" si="1"/>
        <v/>
      </c>
      <c r="M69" s="46" t="str">
        <f>IFERROR(__xludf.DUMMYFUNCTION("IF(Account!$F69&lt;&gt;"""", VALUE(REGEXREPLACE($I69, ""\,"", ""."")), """")"),"")</f>
        <v/>
      </c>
      <c r="N69" s="47" t="str">
        <f>IF(Account!$F69&lt;&gt;"", DATEVALUE(MID($A69,4,3) &amp; LEFT($A69,3) &amp; RIGHT($A69,4)) + TIMEVALUE($B69), "")</f>
        <v/>
      </c>
      <c r="O69" s="48" t="str">
        <f>IF(Account!$F69&lt;&gt;"", DATEVALUE(MID($A69,4,3) &amp; LEFT($A69,3) &amp; RIGHT($A69,4)), "")</f>
        <v/>
      </c>
      <c r="P69" s="49" t="str">
        <f>IFERROR(VLOOKUP($Q69,Selection!$F:$G,2,false))</f>
        <v/>
      </c>
      <c r="Q69" s="50" t="str">
        <f>IF(AND($X69="change",$H69="EUR"),IF(AND($Z69="Crédit",$N69=$N70),$Q70,IF(AND($Z69="Débit",$N69=$N68),$Q68)),IF(OR(AND(OR($E69&lt;&gt;"",$L69=""),$M69&lt;&gt;0),$A69=""),IFERROR(VLOOKUP($E69,Selection!$E:$F,2,false)),IFERROR(VLOOKUP(SUBSTITUTE($I69,"-","",1),$K70:$Q1119,7,false),VLOOKUP($K69,$K70:$Q1119,7,false))))</f>
        <v/>
      </c>
      <c r="R69" s="49" t="str">
        <f t="shared" si="2"/>
        <v/>
      </c>
      <c r="S69" s="51" t="str">
        <f t="shared" si="3"/>
        <v/>
      </c>
      <c r="T69" s="52" t="str">
        <f t="shared" si="4"/>
        <v/>
      </c>
      <c r="U69" s="46" t="str">
        <f t="shared" si="5"/>
        <v/>
      </c>
      <c r="V69" s="53" t="str">
        <f>IFERROR(__xludf.DUMMYFUNCTION(" IF(Account!$F69&lt;&gt;"""", SPLIT(Account!$F69, "" ""), """")"),"")</f>
        <v/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</row>
    <row r="70">
      <c r="A70" s="11"/>
      <c r="B70" s="11"/>
      <c r="C70" s="11"/>
      <c r="D70" s="11"/>
      <c r="E70" s="11"/>
      <c r="F70" s="12"/>
      <c r="G70" s="11"/>
      <c r="H70" s="11"/>
      <c r="I70" s="11"/>
      <c r="J70" s="11"/>
      <c r="K70" s="11"/>
      <c r="L70" s="45" t="str">
        <f t="shared" si="1"/>
        <v/>
      </c>
      <c r="M70" s="46" t="str">
        <f>IFERROR(__xludf.DUMMYFUNCTION("IF(Account!$F70&lt;&gt;"""", VALUE(REGEXREPLACE($I70, ""\,"", ""."")), """")"),"")</f>
        <v/>
      </c>
      <c r="N70" s="47" t="str">
        <f>IF(Account!$F70&lt;&gt;"", DATEVALUE(MID($A70,4,3) &amp; LEFT($A70,3) &amp; RIGHT($A70,4)) + TIMEVALUE($B70), "")</f>
        <v/>
      </c>
      <c r="O70" s="48" t="str">
        <f>IF(Account!$F70&lt;&gt;"", DATEVALUE(MID($A70,4,3) &amp; LEFT($A70,3) &amp; RIGHT($A70,4)), "")</f>
        <v/>
      </c>
      <c r="P70" s="49" t="str">
        <f>IFERROR(VLOOKUP($Q70,Selection!$F:$G,2,false))</f>
        <v/>
      </c>
      <c r="Q70" s="50" t="str">
        <f>IF(AND($X70="change",$H70="EUR"),IF(AND($Z70="Crédit",$N70=$N71),$Q71,IF(AND($Z70="Débit",$N70=$N69),$Q69)),IF(OR(AND(OR($E70&lt;&gt;"",$L70=""),$M70&lt;&gt;0),$A70=""),IFERROR(VLOOKUP($E70,Selection!$E:$F,2,false)),IFERROR(VLOOKUP(SUBSTITUTE($I70,"-","",1),$K71:$Q1119,7,false),VLOOKUP($K70,$K71:$Q1119,7,false))))</f>
        <v/>
      </c>
      <c r="R70" s="49" t="str">
        <f t="shared" si="2"/>
        <v/>
      </c>
      <c r="S70" s="51" t="str">
        <f t="shared" si="3"/>
        <v/>
      </c>
      <c r="T70" s="52" t="str">
        <f t="shared" si="4"/>
        <v/>
      </c>
      <c r="U70" s="46" t="str">
        <f t="shared" si="5"/>
        <v/>
      </c>
      <c r="V70" s="53" t="str">
        <f>IFERROR(__xludf.DUMMYFUNCTION(" IF(Account!$F70&lt;&gt;"""", SPLIT(Account!$F70, "" ""), """")"),"")</f>
        <v/>
      </c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</row>
    <row r="71">
      <c r="A71" s="11"/>
      <c r="B71" s="11"/>
      <c r="C71" s="11"/>
      <c r="D71" s="11"/>
      <c r="E71" s="11"/>
      <c r="F71" s="12"/>
      <c r="G71" s="11"/>
      <c r="H71" s="11"/>
      <c r="I71" s="11"/>
      <c r="J71" s="11"/>
      <c r="K71" s="11"/>
      <c r="L71" s="45" t="str">
        <f t="shared" si="1"/>
        <v/>
      </c>
      <c r="M71" s="46" t="str">
        <f>IFERROR(__xludf.DUMMYFUNCTION("IF(Account!$F71&lt;&gt;"""", VALUE(REGEXREPLACE($I71, ""\,"", ""."")), """")"),"")</f>
        <v/>
      </c>
      <c r="N71" s="47" t="str">
        <f>IF(Account!$F71&lt;&gt;"", DATEVALUE(MID($A71,4,3) &amp; LEFT($A71,3) &amp; RIGHT($A71,4)) + TIMEVALUE($B71), "")</f>
        <v/>
      </c>
      <c r="O71" s="48" t="str">
        <f>IF(Account!$F71&lt;&gt;"", DATEVALUE(MID($A71,4,3) &amp; LEFT($A71,3) &amp; RIGHT($A71,4)), "")</f>
        <v/>
      </c>
      <c r="P71" s="49" t="str">
        <f>IFERROR(VLOOKUP($Q71,Selection!$F:$G,2,false))</f>
        <v/>
      </c>
      <c r="Q71" s="50" t="str">
        <f>IF(AND($X71="change",$H71="EUR"),IF(AND($Z71="Crédit",$N71=$N72),$Q72,IF(AND($Z71="Débit",$N71=$N70),$Q70)),IF(OR(AND(OR($E71&lt;&gt;"",$L71=""),$M71&lt;&gt;0),$A71=""),IFERROR(VLOOKUP($E71,Selection!$E:$F,2,false)),IFERROR(VLOOKUP(SUBSTITUTE($I71,"-","",1),$K72:$Q1119,7,false),VLOOKUP($K71,$K72:$Q1119,7,false))))</f>
        <v/>
      </c>
      <c r="R71" s="49" t="str">
        <f t="shared" si="2"/>
        <v/>
      </c>
      <c r="S71" s="51" t="str">
        <f t="shared" si="3"/>
        <v/>
      </c>
      <c r="T71" s="52" t="str">
        <f t="shared" si="4"/>
        <v/>
      </c>
      <c r="U71" s="46" t="str">
        <f t="shared" si="5"/>
        <v/>
      </c>
      <c r="V71" s="53" t="str">
        <f>IFERROR(__xludf.DUMMYFUNCTION(" IF(Account!$F71&lt;&gt;"""", SPLIT(Account!$F71, "" ""), """")"),"")</f>
        <v/>
      </c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</row>
    <row r="72">
      <c r="A72" s="11"/>
      <c r="B72" s="11"/>
      <c r="C72" s="11"/>
      <c r="D72" s="11"/>
      <c r="E72" s="11"/>
      <c r="F72" s="12"/>
      <c r="G72" s="11"/>
      <c r="H72" s="11"/>
      <c r="I72" s="11"/>
      <c r="J72" s="11"/>
      <c r="K72" s="11"/>
      <c r="L72" s="45" t="str">
        <f t="shared" si="1"/>
        <v/>
      </c>
      <c r="M72" s="46" t="str">
        <f>IFERROR(__xludf.DUMMYFUNCTION("IF(Account!$F72&lt;&gt;"""", VALUE(REGEXREPLACE($I72, ""\,"", ""."")), """")"),"")</f>
        <v/>
      </c>
      <c r="N72" s="47" t="str">
        <f>IF(Account!$F72&lt;&gt;"", DATEVALUE(MID($A72,4,3) &amp; LEFT($A72,3) &amp; RIGHT($A72,4)) + TIMEVALUE($B72), "")</f>
        <v/>
      </c>
      <c r="O72" s="48" t="str">
        <f>IF(Account!$F72&lt;&gt;"", DATEVALUE(MID($A72,4,3) &amp; LEFT($A72,3) &amp; RIGHT($A72,4)), "")</f>
        <v/>
      </c>
      <c r="P72" s="49" t="str">
        <f>IFERROR(VLOOKUP($Q72,Selection!$F:$G,2,false))</f>
        <v/>
      </c>
      <c r="Q72" s="50" t="str">
        <f>IF(AND($X72="change",$H72="EUR"),IF(AND($Z72="Crédit",$N72=$N73),$Q73,IF(AND($Z72="Débit",$N72=$N71),$Q71)),IF(OR(AND(OR($E72&lt;&gt;"",$L72=""),$M72&lt;&gt;0),$A72=""),IFERROR(VLOOKUP($E72,Selection!$E:$F,2,false)),IFERROR(VLOOKUP(SUBSTITUTE($I72,"-","",1),$K73:$Q1119,7,false),VLOOKUP($K72,$K73:$Q1119,7,false))))</f>
        <v/>
      </c>
      <c r="R72" s="49" t="str">
        <f t="shared" si="2"/>
        <v/>
      </c>
      <c r="S72" s="51" t="str">
        <f t="shared" si="3"/>
        <v/>
      </c>
      <c r="T72" s="52" t="str">
        <f t="shared" si="4"/>
        <v/>
      </c>
      <c r="U72" s="46" t="str">
        <f t="shared" si="5"/>
        <v/>
      </c>
      <c r="V72" s="53" t="str">
        <f>IFERROR(__xludf.DUMMYFUNCTION(" IF(Account!$F72&lt;&gt;"""", SPLIT(Account!$F72, "" ""), """")"),"")</f>
        <v/>
      </c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</row>
    <row r="73">
      <c r="A73" s="11"/>
      <c r="B73" s="11"/>
      <c r="C73" s="11"/>
      <c r="D73" s="11"/>
      <c r="E73" s="11"/>
      <c r="F73" s="12"/>
      <c r="G73" s="11"/>
      <c r="H73" s="11"/>
      <c r="I73" s="11"/>
      <c r="J73" s="11"/>
      <c r="K73" s="11"/>
      <c r="L73" s="45" t="str">
        <f t="shared" si="1"/>
        <v/>
      </c>
      <c r="M73" s="46" t="str">
        <f>IFERROR(__xludf.DUMMYFUNCTION("IF(Account!$F73&lt;&gt;"""", VALUE(REGEXREPLACE($I73, ""\,"", ""."")), """")"),"")</f>
        <v/>
      </c>
      <c r="N73" s="47" t="str">
        <f>IF(Account!$F73&lt;&gt;"", DATEVALUE(MID($A73,4,3) &amp; LEFT($A73,3) &amp; RIGHT($A73,4)) + TIMEVALUE($B73), "")</f>
        <v/>
      </c>
      <c r="O73" s="48" t="str">
        <f>IF(Account!$F73&lt;&gt;"", DATEVALUE(MID($A73,4,3) &amp; LEFT($A73,3) &amp; RIGHT($A73,4)), "")</f>
        <v/>
      </c>
      <c r="P73" s="49" t="str">
        <f>IFERROR(VLOOKUP($Q73,Selection!$F:$G,2,false))</f>
        <v/>
      </c>
      <c r="Q73" s="50" t="str">
        <f>IF(AND($X73="change",$H73="EUR"),IF(AND($Z73="Crédit",$N73=$N74),$Q74,IF(AND($Z73="Débit",$N73=$N72),$Q72)),IF(OR(AND(OR($E73&lt;&gt;"",$L73=""),$M73&lt;&gt;0),$A73=""),IFERROR(VLOOKUP($E73,Selection!$E:$F,2,false)),IFERROR(VLOOKUP(SUBSTITUTE($I73,"-","",1),$K74:$Q1119,7,false),VLOOKUP($K73,$K74:$Q1119,7,false))))</f>
        <v/>
      </c>
      <c r="R73" s="49" t="str">
        <f t="shared" si="2"/>
        <v/>
      </c>
      <c r="S73" s="51" t="str">
        <f t="shared" si="3"/>
        <v/>
      </c>
      <c r="T73" s="52" t="str">
        <f t="shared" si="4"/>
        <v/>
      </c>
      <c r="U73" s="46" t="str">
        <f t="shared" si="5"/>
        <v/>
      </c>
      <c r="V73" s="53" t="str">
        <f>IFERROR(__xludf.DUMMYFUNCTION(" IF(Account!$F73&lt;&gt;"""", SPLIT(Account!$F73, "" ""), """")"),"")</f>
        <v/>
      </c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</row>
    <row r="74">
      <c r="A74" s="11"/>
      <c r="B74" s="11"/>
      <c r="C74" s="11"/>
      <c r="D74" s="11"/>
      <c r="E74" s="11"/>
      <c r="F74" s="12"/>
      <c r="G74" s="11"/>
      <c r="H74" s="11"/>
      <c r="I74" s="11"/>
      <c r="J74" s="11"/>
      <c r="K74" s="11"/>
      <c r="L74" s="45" t="str">
        <f t="shared" si="1"/>
        <v/>
      </c>
      <c r="M74" s="46" t="str">
        <f>IFERROR(__xludf.DUMMYFUNCTION("IF(Account!$F74&lt;&gt;"""", VALUE(REGEXREPLACE($I74, ""\,"", ""."")), """")"),"")</f>
        <v/>
      </c>
      <c r="N74" s="47" t="str">
        <f>IF(Account!$F74&lt;&gt;"", DATEVALUE(MID($A74,4,3) &amp; LEFT($A74,3) &amp; RIGHT($A74,4)) + TIMEVALUE($B74), "")</f>
        <v/>
      </c>
      <c r="O74" s="48" t="str">
        <f>IF(Account!$F74&lt;&gt;"", DATEVALUE(MID($A74,4,3) &amp; LEFT($A74,3) &amp; RIGHT($A74,4)), "")</f>
        <v/>
      </c>
      <c r="P74" s="49" t="str">
        <f>IFERROR(VLOOKUP($Q74,Selection!$F:$G,2,false))</f>
        <v/>
      </c>
      <c r="Q74" s="50" t="str">
        <f>IF(AND($X74="change",$H74="EUR"),IF(AND($Z74="Crédit",$N74=$N75),$Q75,IF(AND($Z74="Débit",$N74=$N73),$Q73)),IF(OR(AND(OR($E74&lt;&gt;"",$L74=""),$M74&lt;&gt;0),$A74=""),IFERROR(VLOOKUP($E74,Selection!$E:$F,2,false)),IFERROR(VLOOKUP(SUBSTITUTE($I74,"-","",1),$K75:$Q1119,7,false),VLOOKUP($K74,$K75:$Q1119,7,false))))</f>
        <v/>
      </c>
      <c r="R74" s="49" t="str">
        <f t="shared" si="2"/>
        <v/>
      </c>
      <c r="S74" s="51" t="str">
        <f t="shared" si="3"/>
        <v/>
      </c>
      <c r="T74" s="52" t="str">
        <f t="shared" si="4"/>
        <v/>
      </c>
      <c r="U74" s="46" t="str">
        <f t="shared" si="5"/>
        <v/>
      </c>
      <c r="V74" s="53" t="str">
        <f>IFERROR(__xludf.DUMMYFUNCTION(" IF(Account!$F74&lt;&gt;"""", SPLIT(Account!$F74, "" ""), """")"),"")</f>
        <v/>
      </c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</row>
    <row r="75">
      <c r="A75" s="11"/>
      <c r="B75" s="11"/>
      <c r="C75" s="11"/>
      <c r="D75" s="11"/>
      <c r="E75" s="11"/>
      <c r="F75" s="12"/>
      <c r="G75" s="11"/>
      <c r="H75" s="11"/>
      <c r="I75" s="11"/>
      <c r="J75" s="11"/>
      <c r="K75" s="11"/>
      <c r="L75" s="45" t="str">
        <f t="shared" si="1"/>
        <v/>
      </c>
      <c r="M75" s="46" t="str">
        <f>IFERROR(__xludf.DUMMYFUNCTION("IF(Account!$F75&lt;&gt;"""", VALUE(REGEXREPLACE($I75, ""\,"", ""."")), """")"),"")</f>
        <v/>
      </c>
      <c r="N75" s="47" t="str">
        <f>IF(Account!$F75&lt;&gt;"", DATEVALUE(MID($A75,4,3) &amp; LEFT($A75,3) &amp; RIGHT($A75,4)) + TIMEVALUE($B75), "")</f>
        <v/>
      </c>
      <c r="O75" s="48" t="str">
        <f>IF(Account!$F75&lt;&gt;"", DATEVALUE(MID($A75,4,3) &amp; LEFT($A75,3) &amp; RIGHT($A75,4)), "")</f>
        <v/>
      </c>
      <c r="P75" s="49" t="str">
        <f>IFERROR(VLOOKUP($Q75,Selection!$F:$G,2,false))</f>
        <v/>
      </c>
      <c r="Q75" s="50" t="str">
        <f>IF(AND($X75="change",$H75="EUR"),IF(AND($Z75="Crédit",$N75=$N76),$Q76,IF(AND($Z75="Débit",$N75=$N74),$Q74)),IF(OR(AND(OR($E75&lt;&gt;"",$L75=""),$M75&lt;&gt;0),$A75=""),IFERROR(VLOOKUP($E75,Selection!$E:$F,2,false)),IFERROR(VLOOKUP(SUBSTITUTE($I75,"-","",1),$K76:$Q1119,7,false),VLOOKUP($K75,$K76:$Q1119,7,false))))</f>
        <v/>
      </c>
      <c r="R75" s="49" t="str">
        <f t="shared" si="2"/>
        <v/>
      </c>
      <c r="S75" s="51" t="str">
        <f t="shared" si="3"/>
        <v/>
      </c>
      <c r="T75" s="52" t="str">
        <f t="shared" si="4"/>
        <v/>
      </c>
      <c r="U75" s="46" t="str">
        <f t="shared" si="5"/>
        <v/>
      </c>
      <c r="V75" s="53" t="str">
        <f>IFERROR(__xludf.DUMMYFUNCTION(" IF(Account!$F75&lt;&gt;"""", SPLIT(Account!$F75, "" ""), """")"),"")</f>
        <v/>
      </c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</row>
    <row r="76">
      <c r="A76" s="11"/>
      <c r="B76" s="11"/>
      <c r="C76" s="11"/>
      <c r="D76" s="11"/>
      <c r="E76" s="11"/>
      <c r="F76" s="12"/>
      <c r="G76" s="11"/>
      <c r="H76" s="11"/>
      <c r="I76" s="11"/>
      <c r="J76" s="11"/>
      <c r="K76" s="11"/>
      <c r="L76" s="45" t="str">
        <f t="shared" si="1"/>
        <v/>
      </c>
      <c r="M76" s="46" t="str">
        <f>IFERROR(__xludf.DUMMYFUNCTION("IF(Account!$F76&lt;&gt;"""", VALUE(REGEXREPLACE($I76, ""\,"", ""."")), """")"),"")</f>
        <v/>
      </c>
      <c r="N76" s="47" t="str">
        <f>IF(Account!$F76&lt;&gt;"", DATEVALUE(MID($A76,4,3) &amp; LEFT($A76,3) &amp; RIGHT($A76,4)) + TIMEVALUE($B76), "")</f>
        <v/>
      </c>
      <c r="O76" s="48" t="str">
        <f>IF(Account!$F76&lt;&gt;"", DATEVALUE(MID($A76,4,3) &amp; LEFT($A76,3) &amp; RIGHT($A76,4)), "")</f>
        <v/>
      </c>
      <c r="P76" s="49" t="str">
        <f>IFERROR(VLOOKUP($Q76,Selection!$F:$G,2,false))</f>
        <v/>
      </c>
      <c r="Q76" s="50" t="str">
        <f>IF(AND($X76="change",$H76="EUR"),IF(AND($Z76="Crédit",$N76=$N77),$Q77,IF(AND($Z76="Débit",$N76=$N75),$Q75)),IF(OR(AND(OR($E76&lt;&gt;"",$L76=""),$M76&lt;&gt;0),$A76=""),IFERROR(VLOOKUP($E76,Selection!$E:$F,2,false)),IFERROR(VLOOKUP(SUBSTITUTE($I76,"-","",1),$K77:$Q1119,7,false),VLOOKUP($K76,$K77:$Q1119,7,false))))</f>
        <v/>
      </c>
      <c r="R76" s="49" t="str">
        <f t="shared" si="2"/>
        <v/>
      </c>
      <c r="S76" s="51" t="str">
        <f t="shared" si="3"/>
        <v/>
      </c>
      <c r="T76" s="52" t="str">
        <f t="shared" si="4"/>
        <v/>
      </c>
      <c r="U76" s="46" t="str">
        <f t="shared" si="5"/>
        <v/>
      </c>
      <c r="V76" s="53" t="str">
        <f>IFERROR(__xludf.DUMMYFUNCTION(" IF(Account!$F76&lt;&gt;"""", SPLIT(Account!$F76, "" ""), """")"),"")</f>
        <v/>
      </c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</row>
    <row r="77">
      <c r="A77" s="11"/>
      <c r="B77" s="11"/>
      <c r="C77" s="11"/>
      <c r="D77" s="11"/>
      <c r="E77" s="11"/>
      <c r="F77" s="12"/>
      <c r="G77" s="11"/>
      <c r="H77" s="11"/>
      <c r="I77" s="11"/>
      <c r="J77" s="11"/>
      <c r="K77" s="11"/>
      <c r="L77" s="45" t="str">
        <f t="shared" si="1"/>
        <v/>
      </c>
      <c r="M77" s="46" t="str">
        <f>IFERROR(__xludf.DUMMYFUNCTION("IF(Account!$F77&lt;&gt;"""", VALUE(REGEXREPLACE($I77, ""\,"", ""."")), """")"),"")</f>
        <v/>
      </c>
      <c r="N77" s="47" t="str">
        <f>IF(Account!$F77&lt;&gt;"", DATEVALUE(MID($A77,4,3) &amp; LEFT($A77,3) &amp; RIGHT($A77,4)) + TIMEVALUE($B77), "")</f>
        <v/>
      </c>
      <c r="O77" s="48" t="str">
        <f>IF(Account!$F77&lt;&gt;"", DATEVALUE(MID($A77,4,3) &amp; LEFT($A77,3) &amp; RIGHT($A77,4)), "")</f>
        <v/>
      </c>
      <c r="P77" s="49" t="str">
        <f>IFERROR(VLOOKUP($Q77,Selection!$F:$G,2,false))</f>
        <v/>
      </c>
      <c r="Q77" s="50" t="str">
        <f>IF(AND($X77="change",$H77="EUR"),IF(AND($Z77="Crédit",$N77=$N78),$Q78,IF(AND($Z77="Débit",$N77=$N76),$Q76)),IF(OR(AND(OR($E77&lt;&gt;"",$L77=""),$M77&lt;&gt;0),$A77=""),IFERROR(VLOOKUP($E77,Selection!$E:$F,2,false)),IFERROR(VLOOKUP(SUBSTITUTE($I77,"-","",1),$K78:$Q1119,7,false),VLOOKUP($K77,$K78:$Q1119,7,false))))</f>
        <v/>
      </c>
      <c r="R77" s="49" t="str">
        <f t="shared" si="2"/>
        <v/>
      </c>
      <c r="S77" s="51" t="str">
        <f t="shared" si="3"/>
        <v/>
      </c>
      <c r="T77" s="52" t="str">
        <f t="shared" si="4"/>
        <v/>
      </c>
      <c r="U77" s="46" t="str">
        <f t="shared" si="5"/>
        <v/>
      </c>
      <c r="V77" s="53" t="str">
        <f>IFERROR(__xludf.DUMMYFUNCTION(" IF(Account!$F77&lt;&gt;"""", SPLIT(Account!$F77, "" ""), """")"),"")</f>
        <v/>
      </c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</row>
    <row r="78">
      <c r="A78" s="11"/>
      <c r="B78" s="11"/>
      <c r="C78" s="11"/>
      <c r="D78" s="11"/>
      <c r="E78" s="11"/>
      <c r="F78" s="12"/>
      <c r="G78" s="11"/>
      <c r="H78" s="11"/>
      <c r="I78" s="11"/>
      <c r="J78" s="11"/>
      <c r="K78" s="11"/>
      <c r="L78" s="45" t="str">
        <f t="shared" si="1"/>
        <v/>
      </c>
      <c r="M78" s="46" t="str">
        <f>IFERROR(__xludf.DUMMYFUNCTION("IF(Account!$F78&lt;&gt;"""", VALUE(REGEXREPLACE($I78, ""\,"", ""."")), """")"),"")</f>
        <v/>
      </c>
      <c r="N78" s="47" t="str">
        <f>IF(Account!$F78&lt;&gt;"", DATEVALUE(MID($A78,4,3) &amp; LEFT($A78,3) &amp; RIGHT($A78,4)) + TIMEVALUE($B78), "")</f>
        <v/>
      </c>
      <c r="O78" s="48" t="str">
        <f>IF(Account!$F78&lt;&gt;"", DATEVALUE(MID($A78,4,3) &amp; LEFT($A78,3) &amp; RIGHT($A78,4)), "")</f>
        <v/>
      </c>
      <c r="P78" s="49" t="str">
        <f>IFERROR(VLOOKUP($Q78,Selection!$F:$G,2,false))</f>
        <v/>
      </c>
      <c r="Q78" s="50" t="str">
        <f>IF(AND($X78="change",$H78="EUR"),IF(AND($Z78="Crédit",$N78=$N79),$Q79,IF(AND($Z78="Débit",$N78=$N77),$Q77)),IF(OR(AND(OR($E78&lt;&gt;"",$L78=""),$M78&lt;&gt;0),$A78=""),IFERROR(VLOOKUP($E78,Selection!$E:$F,2,false)),IFERROR(VLOOKUP(SUBSTITUTE($I78,"-","",1),$K79:$Q1119,7,false),VLOOKUP($K78,$K79:$Q1119,7,false))))</f>
        <v/>
      </c>
      <c r="R78" s="49" t="str">
        <f t="shared" si="2"/>
        <v/>
      </c>
      <c r="S78" s="51" t="str">
        <f t="shared" si="3"/>
        <v/>
      </c>
      <c r="T78" s="52" t="str">
        <f t="shared" si="4"/>
        <v/>
      </c>
      <c r="U78" s="46" t="str">
        <f t="shared" si="5"/>
        <v/>
      </c>
      <c r="V78" s="53" t="str">
        <f>IFERROR(__xludf.DUMMYFUNCTION(" IF(Account!$F78&lt;&gt;"""", SPLIT(Account!$F78, "" ""), """")"),"")</f>
        <v/>
      </c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</row>
    <row r="79">
      <c r="A79" s="11"/>
      <c r="B79" s="11"/>
      <c r="C79" s="11"/>
      <c r="D79" s="11"/>
      <c r="E79" s="11"/>
      <c r="F79" s="12"/>
      <c r="G79" s="11"/>
      <c r="H79" s="11"/>
      <c r="I79" s="11"/>
      <c r="J79" s="11"/>
      <c r="K79" s="11"/>
      <c r="L79" s="45" t="str">
        <f t="shared" si="1"/>
        <v/>
      </c>
      <c r="M79" s="46" t="str">
        <f>IFERROR(__xludf.DUMMYFUNCTION("IF(Account!$F79&lt;&gt;"""", VALUE(REGEXREPLACE($I79, ""\,"", ""."")), """")"),"")</f>
        <v/>
      </c>
      <c r="N79" s="47" t="str">
        <f>IF(Account!$F79&lt;&gt;"", DATEVALUE(MID($A79,4,3) &amp; LEFT($A79,3) &amp; RIGHT($A79,4)) + TIMEVALUE($B79), "")</f>
        <v/>
      </c>
      <c r="O79" s="48" t="str">
        <f>IF(Account!$F79&lt;&gt;"", DATEVALUE(MID($A79,4,3) &amp; LEFT($A79,3) &amp; RIGHT($A79,4)), "")</f>
        <v/>
      </c>
      <c r="P79" s="49" t="str">
        <f>IFERROR(VLOOKUP($Q79,Selection!$F:$G,2,false))</f>
        <v/>
      </c>
      <c r="Q79" s="50" t="str">
        <f>IF(AND($X79="change",$H79="EUR"),IF(AND($Z79="Crédit",$N79=$N80),$Q80,IF(AND($Z79="Débit",$N79=$N78),$Q78)),IF(OR(AND(OR($E79&lt;&gt;"",$L79=""),$M79&lt;&gt;0),$A79=""),IFERROR(VLOOKUP($E79,Selection!$E:$F,2,false)),IFERROR(VLOOKUP(SUBSTITUTE($I79,"-","",1),$K80:$Q1119,7,false),VLOOKUP($K79,$K80:$Q1119,7,false))))</f>
        <v/>
      </c>
      <c r="R79" s="49" t="str">
        <f t="shared" si="2"/>
        <v/>
      </c>
      <c r="S79" s="51" t="str">
        <f t="shared" si="3"/>
        <v/>
      </c>
      <c r="T79" s="52" t="str">
        <f t="shared" si="4"/>
        <v/>
      </c>
      <c r="U79" s="46" t="str">
        <f t="shared" si="5"/>
        <v/>
      </c>
      <c r="V79" s="53" t="str">
        <f>IFERROR(__xludf.DUMMYFUNCTION(" IF(Account!$F79&lt;&gt;"""", SPLIT(Account!$F79, "" ""), """")"),"")</f>
        <v/>
      </c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</row>
    <row r="80">
      <c r="A80" s="11"/>
      <c r="B80" s="11"/>
      <c r="C80" s="11"/>
      <c r="D80" s="11"/>
      <c r="E80" s="11"/>
      <c r="F80" s="12"/>
      <c r="G80" s="11"/>
      <c r="H80" s="11"/>
      <c r="I80" s="11"/>
      <c r="J80" s="11"/>
      <c r="K80" s="11"/>
      <c r="L80" s="45" t="str">
        <f t="shared" si="1"/>
        <v/>
      </c>
      <c r="M80" s="46" t="str">
        <f>IFERROR(__xludf.DUMMYFUNCTION("IF(Account!$F80&lt;&gt;"""", VALUE(REGEXREPLACE($I80, ""\,"", ""."")), """")"),"")</f>
        <v/>
      </c>
      <c r="N80" s="47" t="str">
        <f>IF(Account!$F80&lt;&gt;"", DATEVALUE(MID($A80,4,3) &amp; LEFT($A80,3) &amp; RIGHT($A80,4)) + TIMEVALUE($B80), "")</f>
        <v/>
      </c>
      <c r="O80" s="48" t="str">
        <f>IF(Account!$F80&lt;&gt;"", DATEVALUE(MID($A80,4,3) &amp; LEFT($A80,3) &amp; RIGHT($A80,4)), "")</f>
        <v/>
      </c>
      <c r="P80" s="49" t="str">
        <f>IFERROR(VLOOKUP($Q80,Selection!$F:$G,2,false))</f>
        <v/>
      </c>
      <c r="Q80" s="50" t="str">
        <f>IF(AND($X80="change",$H80="EUR"),IF(AND($Z80="Crédit",$N80=$N81),$Q81,IF(AND($Z80="Débit",$N80=$N79),$Q79)),IF(OR(AND(OR($E80&lt;&gt;"",$L80=""),$M80&lt;&gt;0),$A80=""),IFERROR(VLOOKUP($E80,Selection!$E:$F,2,false)),IFERROR(VLOOKUP(SUBSTITUTE($I80,"-","",1),$K81:$Q1119,7,false),VLOOKUP($K80,$K81:$Q1119,7,false))))</f>
        <v/>
      </c>
      <c r="R80" s="49" t="str">
        <f t="shared" si="2"/>
        <v/>
      </c>
      <c r="S80" s="51" t="str">
        <f t="shared" si="3"/>
        <v/>
      </c>
      <c r="T80" s="52" t="str">
        <f t="shared" si="4"/>
        <v/>
      </c>
      <c r="U80" s="46" t="str">
        <f t="shared" si="5"/>
        <v/>
      </c>
      <c r="V80" s="53" t="str">
        <f>IFERROR(__xludf.DUMMYFUNCTION(" IF(Account!$F80&lt;&gt;"""", SPLIT(Account!$F80, "" ""), """")"),"")</f>
        <v/>
      </c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</row>
    <row r="81">
      <c r="A81" s="11"/>
      <c r="B81" s="11"/>
      <c r="C81" s="11"/>
      <c r="D81" s="11"/>
      <c r="E81" s="11"/>
      <c r="F81" s="12"/>
      <c r="G81" s="11"/>
      <c r="H81" s="11"/>
      <c r="I81" s="11"/>
      <c r="J81" s="11"/>
      <c r="K81" s="11"/>
      <c r="L81" s="45" t="str">
        <f t="shared" si="1"/>
        <v/>
      </c>
      <c r="M81" s="46" t="str">
        <f>IFERROR(__xludf.DUMMYFUNCTION("IF(Account!$F81&lt;&gt;"""", VALUE(REGEXREPLACE($I81, ""\,"", ""."")), """")"),"")</f>
        <v/>
      </c>
      <c r="N81" s="47" t="str">
        <f>IF(Account!$F81&lt;&gt;"", DATEVALUE(MID($A81,4,3) &amp; LEFT($A81,3) &amp; RIGHT($A81,4)) + TIMEVALUE($B81), "")</f>
        <v/>
      </c>
      <c r="O81" s="48" t="str">
        <f>IF(Account!$F81&lt;&gt;"", DATEVALUE(MID($A81,4,3) &amp; LEFT($A81,3) &amp; RIGHT($A81,4)), "")</f>
        <v/>
      </c>
      <c r="P81" s="49" t="str">
        <f>IFERROR(VLOOKUP($Q81,Selection!$F:$G,2,false))</f>
        <v/>
      </c>
      <c r="Q81" s="50" t="str">
        <f>IF(AND($X81="change",$H81="EUR"),IF(AND($Z81="Crédit",$N81=$N82),$Q82,IF(AND($Z81="Débit",$N81=$N80),$Q80)),IF(OR(AND(OR($E81&lt;&gt;"",$L81=""),$M81&lt;&gt;0),$A81=""),IFERROR(VLOOKUP($E81,Selection!$E:$F,2,false)),IFERROR(VLOOKUP(SUBSTITUTE($I81,"-","",1),$K82:$Q1119,7,false),VLOOKUP($K81,$K82:$Q1119,7,false))))</f>
        <v/>
      </c>
      <c r="R81" s="49" t="str">
        <f t="shared" si="2"/>
        <v/>
      </c>
      <c r="S81" s="51" t="str">
        <f t="shared" si="3"/>
        <v/>
      </c>
      <c r="T81" s="52" t="str">
        <f t="shared" si="4"/>
        <v/>
      </c>
      <c r="U81" s="46" t="str">
        <f t="shared" si="5"/>
        <v/>
      </c>
      <c r="V81" s="53" t="str">
        <f>IFERROR(__xludf.DUMMYFUNCTION(" IF(Account!$F81&lt;&gt;"""", SPLIT(Account!$F81, "" ""), """")"),"")</f>
        <v/>
      </c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</row>
    <row r="82">
      <c r="A82" s="11"/>
      <c r="B82" s="11"/>
      <c r="C82" s="11"/>
      <c r="D82" s="11"/>
      <c r="E82" s="11"/>
      <c r="F82" s="12"/>
      <c r="G82" s="11"/>
      <c r="H82" s="11"/>
      <c r="I82" s="11"/>
      <c r="J82" s="11"/>
      <c r="K82" s="11"/>
      <c r="L82" s="45" t="str">
        <f t="shared" si="1"/>
        <v/>
      </c>
      <c r="M82" s="46" t="str">
        <f>IFERROR(__xludf.DUMMYFUNCTION("IF(Account!$F82&lt;&gt;"""", VALUE(REGEXREPLACE($I82, ""\,"", ""."")), """")"),"")</f>
        <v/>
      </c>
      <c r="N82" s="47" t="str">
        <f>IF(Account!$F82&lt;&gt;"", DATEVALUE(MID($A82,4,3) &amp; LEFT($A82,3) &amp; RIGHT($A82,4)) + TIMEVALUE($B82), "")</f>
        <v/>
      </c>
      <c r="O82" s="48" t="str">
        <f>IF(Account!$F82&lt;&gt;"", DATEVALUE(MID($A82,4,3) &amp; LEFT($A82,3) &amp; RIGHT($A82,4)), "")</f>
        <v/>
      </c>
      <c r="P82" s="49" t="str">
        <f>IFERROR(VLOOKUP($Q82,Selection!$F:$G,2,false))</f>
        <v/>
      </c>
      <c r="Q82" s="50" t="str">
        <f>IF(AND($X82="change",$H82="EUR"),IF(AND($Z82="Crédit",$N82=$N83),$Q83,IF(AND($Z82="Débit",$N82=$N81),$Q81)),IF(OR(AND(OR($E82&lt;&gt;"",$L82=""),$M82&lt;&gt;0),$A82=""),IFERROR(VLOOKUP($E82,Selection!$E:$F,2,false)),IFERROR(VLOOKUP(SUBSTITUTE($I82,"-","",1),$K83:$Q1119,7,false),VLOOKUP($K82,$K83:$Q1119,7,false))))</f>
        <v/>
      </c>
      <c r="R82" s="49" t="str">
        <f t="shared" si="2"/>
        <v/>
      </c>
      <c r="S82" s="51" t="str">
        <f t="shared" si="3"/>
        <v/>
      </c>
      <c r="T82" s="52" t="str">
        <f t="shared" si="4"/>
        <v/>
      </c>
      <c r="U82" s="46" t="str">
        <f t="shared" si="5"/>
        <v/>
      </c>
      <c r="V82" s="53" t="str">
        <f>IFERROR(__xludf.DUMMYFUNCTION(" IF(Account!$F82&lt;&gt;"""", SPLIT(Account!$F82, "" ""), """")"),"")</f>
        <v/>
      </c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</row>
    <row r="83">
      <c r="A83" s="11"/>
      <c r="B83" s="11"/>
      <c r="C83" s="11"/>
      <c r="D83" s="11"/>
      <c r="E83" s="11"/>
      <c r="F83" s="12"/>
      <c r="G83" s="11"/>
      <c r="H83" s="11"/>
      <c r="I83" s="11"/>
      <c r="J83" s="11"/>
      <c r="K83" s="11"/>
      <c r="L83" s="45" t="str">
        <f t="shared" si="1"/>
        <v/>
      </c>
      <c r="M83" s="46" t="str">
        <f>IFERROR(__xludf.DUMMYFUNCTION("IF(Account!$F83&lt;&gt;"""", VALUE(REGEXREPLACE($I83, ""\,"", ""."")), """")"),"")</f>
        <v/>
      </c>
      <c r="N83" s="47" t="str">
        <f>IF(Account!$F83&lt;&gt;"", DATEVALUE(MID($A83,4,3) &amp; LEFT($A83,3) &amp; RIGHT($A83,4)) + TIMEVALUE($B83), "")</f>
        <v/>
      </c>
      <c r="O83" s="48" t="str">
        <f>IF(Account!$F83&lt;&gt;"", DATEVALUE(MID($A83,4,3) &amp; LEFT($A83,3) &amp; RIGHT($A83,4)), "")</f>
        <v/>
      </c>
      <c r="P83" s="49" t="str">
        <f>IFERROR(VLOOKUP($Q83,Selection!$F:$G,2,false))</f>
        <v/>
      </c>
      <c r="Q83" s="50" t="str">
        <f>IF(AND($X83="change",$H83="EUR"),IF(AND($Z83="Crédit",$N83=$N84),$Q84,IF(AND($Z83="Débit",$N83=$N82),$Q82)),IF(OR(AND(OR($E83&lt;&gt;"",$L83=""),$M83&lt;&gt;0),$A83=""),IFERROR(VLOOKUP($E83,Selection!$E:$F,2,false)),IFERROR(VLOOKUP(SUBSTITUTE($I83,"-","",1),$K84:$Q1119,7,false),VLOOKUP($K83,$K84:$Q1119,7,false))))</f>
        <v/>
      </c>
      <c r="R83" s="49" t="str">
        <f t="shared" si="2"/>
        <v/>
      </c>
      <c r="S83" s="51" t="str">
        <f t="shared" si="3"/>
        <v/>
      </c>
      <c r="T83" s="52" t="str">
        <f t="shared" si="4"/>
        <v/>
      </c>
      <c r="U83" s="46" t="str">
        <f t="shared" si="5"/>
        <v/>
      </c>
      <c r="V83" s="53" t="str">
        <f>IFERROR(__xludf.DUMMYFUNCTION(" IF(Account!$F83&lt;&gt;"""", SPLIT(Account!$F83, "" ""), """")"),"")</f>
        <v/>
      </c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</row>
    <row r="84">
      <c r="A84" s="11"/>
      <c r="B84" s="11"/>
      <c r="C84" s="11"/>
      <c r="D84" s="11"/>
      <c r="E84" s="11"/>
      <c r="F84" s="12"/>
      <c r="G84" s="11"/>
      <c r="H84" s="11"/>
      <c r="I84" s="11"/>
      <c r="J84" s="11"/>
      <c r="K84" s="11"/>
      <c r="L84" s="45" t="str">
        <f t="shared" si="1"/>
        <v/>
      </c>
      <c r="M84" s="46" t="str">
        <f>IFERROR(__xludf.DUMMYFUNCTION("IF(Account!$F84&lt;&gt;"""", VALUE(REGEXREPLACE($I84, ""\,"", ""."")), """")"),"")</f>
        <v/>
      </c>
      <c r="N84" s="47" t="str">
        <f>IF(Account!$F84&lt;&gt;"", DATEVALUE(MID($A84,4,3) &amp; LEFT($A84,3) &amp; RIGHT($A84,4)) + TIMEVALUE($B84), "")</f>
        <v/>
      </c>
      <c r="O84" s="48" t="str">
        <f>IF(Account!$F84&lt;&gt;"", DATEVALUE(MID($A84,4,3) &amp; LEFT($A84,3) &amp; RIGHT($A84,4)), "")</f>
        <v/>
      </c>
      <c r="P84" s="49" t="str">
        <f>IFERROR(VLOOKUP($Q84,Selection!$F:$G,2,false))</f>
        <v/>
      </c>
      <c r="Q84" s="50" t="str">
        <f>IF(AND($X84="change",$H84="EUR"),IF(AND($Z84="Crédit",$N84=$N85),$Q85,IF(AND($Z84="Débit",$N84=$N83),$Q83)),IF(OR(AND(OR($E84&lt;&gt;"",$L84=""),$M84&lt;&gt;0),$A84=""),IFERROR(VLOOKUP($E84,Selection!$E:$F,2,false)),IFERROR(VLOOKUP(SUBSTITUTE($I84,"-","",1),$K85:$Q1119,7,false),VLOOKUP($K84,$K85:$Q1119,7,false))))</f>
        <v/>
      </c>
      <c r="R84" s="49" t="str">
        <f t="shared" si="2"/>
        <v/>
      </c>
      <c r="S84" s="51" t="str">
        <f t="shared" si="3"/>
        <v/>
      </c>
      <c r="T84" s="52" t="str">
        <f t="shared" si="4"/>
        <v/>
      </c>
      <c r="U84" s="46" t="str">
        <f t="shared" si="5"/>
        <v/>
      </c>
      <c r="V84" s="53" t="str">
        <f>IFERROR(__xludf.DUMMYFUNCTION(" IF(Account!$F84&lt;&gt;"""", SPLIT(Account!$F84, "" ""), """")"),"")</f>
        <v/>
      </c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</row>
    <row r="85">
      <c r="A85" s="11"/>
      <c r="B85" s="11"/>
      <c r="C85" s="11"/>
      <c r="D85" s="11"/>
      <c r="E85" s="11"/>
      <c r="F85" s="12"/>
      <c r="G85" s="11"/>
      <c r="H85" s="11"/>
      <c r="I85" s="11"/>
      <c r="J85" s="11"/>
      <c r="K85" s="11"/>
      <c r="L85" s="45" t="str">
        <f t="shared" si="1"/>
        <v/>
      </c>
      <c r="M85" s="46" t="str">
        <f>IFERROR(__xludf.DUMMYFUNCTION("IF(Account!$F85&lt;&gt;"""", VALUE(REGEXREPLACE($I85, ""\,"", ""."")), """")"),"")</f>
        <v/>
      </c>
      <c r="N85" s="47" t="str">
        <f>IF(Account!$F85&lt;&gt;"", DATEVALUE(MID($A85,4,3) &amp; LEFT($A85,3) &amp; RIGHT($A85,4)) + TIMEVALUE($B85), "")</f>
        <v/>
      </c>
      <c r="O85" s="48" t="str">
        <f>IF(Account!$F85&lt;&gt;"", DATEVALUE(MID($A85,4,3) &amp; LEFT($A85,3) &amp; RIGHT($A85,4)), "")</f>
        <v/>
      </c>
      <c r="P85" s="49" t="str">
        <f>IFERROR(VLOOKUP($Q85,Selection!$F:$G,2,false))</f>
        <v/>
      </c>
      <c r="Q85" s="50" t="str">
        <f>IF(AND($X85="change",$H85="EUR"),IF(AND($Z85="Crédit",$N85=$N86),$Q86,IF(AND($Z85="Débit",$N85=$N84),$Q84)),IF(OR(AND(OR($E85&lt;&gt;"",$L85=""),$M85&lt;&gt;0),$A85=""),IFERROR(VLOOKUP($E85,Selection!$E:$F,2,false)),IFERROR(VLOOKUP(SUBSTITUTE($I85,"-","",1),$K86:$Q1119,7,false),VLOOKUP($K85,$K86:$Q1119,7,false))))</f>
        <v/>
      </c>
      <c r="R85" s="49" t="str">
        <f t="shared" si="2"/>
        <v/>
      </c>
      <c r="S85" s="51" t="str">
        <f t="shared" si="3"/>
        <v/>
      </c>
      <c r="T85" s="52" t="str">
        <f t="shared" si="4"/>
        <v/>
      </c>
      <c r="U85" s="46" t="str">
        <f t="shared" si="5"/>
        <v/>
      </c>
      <c r="V85" s="53" t="str">
        <f>IFERROR(__xludf.DUMMYFUNCTION(" IF(Account!$F85&lt;&gt;"""", SPLIT(Account!$F85, "" ""), """")"),"")</f>
        <v/>
      </c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</row>
    <row r="86">
      <c r="A86" s="11"/>
      <c r="B86" s="11"/>
      <c r="C86" s="11"/>
      <c r="D86" s="11"/>
      <c r="E86" s="11"/>
      <c r="F86" s="12"/>
      <c r="G86" s="11"/>
      <c r="H86" s="11"/>
      <c r="I86" s="11"/>
      <c r="J86" s="11"/>
      <c r="K86" s="11"/>
      <c r="L86" s="45" t="str">
        <f t="shared" si="1"/>
        <v/>
      </c>
      <c r="M86" s="46" t="str">
        <f>IFERROR(__xludf.DUMMYFUNCTION("IF(Account!$F86&lt;&gt;"""", VALUE(REGEXREPLACE($I86, ""\,"", ""."")), """")"),"")</f>
        <v/>
      </c>
      <c r="N86" s="47" t="str">
        <f>IF(Account!$F86&lt;&gt;"", DATEVALUE(MID($A86,4,3) &amp; LEFT($A86,3) &amp; RIGHT($A86,4)) + TIMEVALUE($B86), "")</f>
        <v/>
      </c>
      <c r="O86" s="48" t="str">
        <f>IF(Account!$F86&lt;&gt;"", DATEVALUE(MID($A86,4,3) &amp; LEFT($A86,3) &amp; RIGHT($A86,4)), "")</f>
        <v/>
      </c>
      <c r="P86" s="49" t="str">
        <f>IFERROR(VLOOKUP($Q86,Selection!$F:$G,2,false))</f>
        <v/>
      </c>
      <c r="Q86" s="50" t="str">
        <f>IF(AND($X86="change",$H86="EUR"),IF(AND($Z86="Crédit",$N86=$N87),$Q87,IF(AND($Z86="Débit",$N86=$N85),$Q85)),IF(OR(AND(OR($E86&lt;&gt;"",$L86=""),$M86&lt;&gt;0),$A86=""),IFERROR(VLOOKUP($E86,Selection!$E:$F,2,false)),IFERROR(VLOOKUP(SUBSTITUTE($I86,"-","",1),$K87:$Q1119,7,false),VLOOKUP($K86,$K87:$Q1119,7,false))))</f>
        <v/>
      </c>
      <c r="R86" s="49" t="str">
        <f t="shared" si="2"/>
        <v/>
      </c>
      <c r="S86" s="51" t="str">
        <f t="shared" si="3"/>
        <v/>
      </c>
      <c r="T86" s="52" t="str">
        <f t="shared" si="4"/>
        <v/>
      </c>
      <c r="U86" s="46" t="str">
        <f t="shared" si="5"/>
        <v/>
      </c>
      <c r="V86" s="53" t="str">
        <f>IFERROR(__xludf.DUMMYFUNCTION(" IF(Account!$F86&lt;&gt;"""", SPLIT(Account!$F86, "" ""), """")"),"")</f>
        <v/>
      </c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</row>
    <row r="87">
      <c r="A87" s="11"/>
      <c r="B87" s="11"/>
      <c r="C87" s="11"/>
      <c r="D87" s="11"/>
      <c r="E87" s="11"/>
      <c r="F87" s="12"/>
      <c r="G87" s="11"/>
      <c r="H87" s="11"/>
      <c r="I87" s="11"/>
      <c r="J87" s="11"/>
      <c r="K87" s="11"/>
      <c r="L87" s="45" t="str">
        <f t="shared" si="1"/>
        <v/>
      </c>
      <c r="M87" s="46" t="str">
        <f>IFERROR(__xludf.DUMMYFUNCTION("IF(Account!$F87&lt;&gt;"""", VALUE(REGEXREPLACE($I87, ""\,"", ""."")), """")"),"")</f>
        <v/>
      </c>
      <c r="N87" s="47" t="str">
        <f>IF(Account!$F87&lt;&gt;"", DATEVALUE(MID($A87,4,3) &amp; LEFT($A87,3) &amp; RIGHT($A87,4)) + TIMEVALUE($B87), "")</f>
        <v/>
      </c>
      <c r="O87" s="48" t="str">
        <f>IF(Account!$F87&lt;&gt;"", DATEVALUE(MID($A87,4,3) &amp; LEFT($A87,3) &amp; RIGHT($A87,4)), "")</f>
        <v/>
      </c>
      <c r="P87" s="49" t="str">
        <f>IFERROR(VLOOKUP($Q87,Selection!$F:$G,2,false))</f>
        <v/>
      </c>
      <c r="Q87" s="50" t="str">
        <f>IF(AND($X87="change",$H87="EUR"),IF(AND($Z87="Crédit",$N87=$N88),$Q88,IF(AND($Z87="Débit",$N87=$N86),$Q86)),IF(OR(AND(OR($E87&lt;&gt;"",$L87=""),$M87&lt;&gt;0),$A87=""),IFERROR(VLOOKUP($E87,Selection!$E:$F,2,false)),IFERROR(VLOOKUP(SUBSTITUTE($I87,"-","",1),$K88:$Q1119,7,false),VLOOKUP($K87,$K88:$Q1119,7,false))))</f>
        <v/>
      </c>
      <c r="R87" s="49" t="str">
        <f t="shared" si="2"/>
        <v/>
      </c>
      <c r="S87" s="51" t="str">
        <f t="shared" si="3"/>
        <v/>
      </c>
      <c r="T87" s="52" t="str">
        <f t="shared" si="4"/>
        <v/>
      </c>
      <c r="U87" s="46" t="str">
        <f t="shared" si="5"/>
        <v/>
      </c>
      <c r="V87" s="53" t="str">
        <f>IFERROR(__xludf.DUMMYFUNCTION(" IF(Account!$F87&lt;&gt;"""", SPLIT(Account!$F87, "" ""), """")"),"")</f>
        <v/>
      </c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</row>
    <row r="88">
      <c r="A88" s="11"/>
      <c r="B88" s="11"/>
      <c r="C88" s="11"/>
      <c r="D88" s="11"/>
      <c r="E88" s="11"/>
      <c r="F88" s="12"/>
      <c r="G88" s="11"/>
      <c r="H88" s="11"/>
      <c r="I88" s="11"/>
      <c r="J88" s="11"/>
      <c r="K88" s="11"/>
      <c r="L88" s="45" t="str">
        <f t="shared" si="1"/>
        <v/>
      </c>
      <c r="M88" s="46" t="str">
        <f>IFERROR(__xludf.DUMMYFUNCTION("IF(Account!$F88&lt;&gt;"""", VALUE(REGEXREPLACE($I88, ""\,"", ""."")), """")"),"")</f>
        <v/>
      </c>
      <c r="N88" s="47" t="str">
        <f>IF(Account!$F88&lt;&gt;"", DATEVALUE(MID($A88,4,3) &amp; LEFT($A88,3) &amp; RIGHT($A88,4)) + TIMEVALUE($B88), "")</f>
        <v/>
      </c>
      <c r="O88" s="48" t="str">
        <f>IF(Account!$F88&lt;&gt;"", DATEVALUE(MID($A88,4,3) &amp; LEFT($A88,3) &amp; RIGHT($A88,4)), "")</f>
        <v/>
      </c>
      <c r="P88" s="49" t="str">
        <f>IFERROR(VLOOKUP($Q88,Selection!$F:$G,2,false))</f>
        <v/>
      </c>
      <c r="Q88" s="50" t="str">
        <f>IF(AND($X88="change",$H88="EUR"),IF(AND($Z88="Crédit",$N88=$N89),$Q89,IF(AND($Z88="Débit",$N88=$N87),$Q87)),IF(OR(AND(OR($E88&lt;&gt;"",$L88=""),$M88&lt;&gt;0),$A88=""),IFERROR(VLOOKUP($E88,Selection!$E:$F,2,false)),IFERROR(VLOOKUP(SUBSTITUTE($I88,"-","",1),$K89:$Q1119,7,false),VLOOKUP($K88,$K89:$Q1119,7,false))))</f>
        <v/>
      </c>
      <c r="R88" s="49" t="str">
        <f t="shared" si="2"/>
        <v/>
      </c>
      <c r="S88" s="51" t="str">
        <f t="shared" si="3"/>
        <v/>
      </c>
      <c r="T88" s="52" t="str">
        <f t="shared" si="4"/>
        <v/>
      </c>
      <c r="U88" s="46" t="str">
        <f t="shared" si="5"/>
        <v/>
      </c>
      <c r="V88" s="53" t="str">
        <f>IFERROR(__xludf.DUMMYFUNCTION(" IF(Account!$F88&lt;&gt;"""", SPLIT(Account!$F88, "" ""), """")"),"")</f>
        <v/>
      </c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</row>
    <row r="89">
      <c r="A89" s="11"/>
      <c r="B89" s="11"/>
      <c r="C89" s="11"/>
      <c r="D89" s="11"/>
      <c r="E89" s="11"/>
      <c r="F89" s="12"/>
      <c r="G89" s="11"/>
      <c r="H89" s="11"/>
      <c r="I89" s="11"/>
      <c r="J89" s="11"/>
      <c r="K89" s="11"/>
      <c r="L89" s="45" t="str">
        <f t="shared" si="1"/>
        <v/>
      </c>
      <c r="M89" s="46" t="str">
        <f>IFERROR(__xludf.DUMMYFUNCTION("IF(Account!$F89&lt;&gt;"""", VALUE(REGEXREPLACE($I89, ""\,"", ""."")), """")"),"")</f>
        <v/>
      </c>
      <c r="N89" s="47" t="str">
        <f>IF(Account!$F89&lt;&gt;"", DATEVALUE(MID($A89,4,3) &amp; LEFT($A89,3) &amp; RIGHT($A89,4)) + TIMEVALUE($B89), "")</f>
        <v/>
      </c>
      <c r="O89" s="48" t="str">
        <f>IF(Account!$F89&lt;&gt;"", DATEVALUE(MID($A89,4,3) &amp; LEFT($A89,3) &amp; RIGHT($A89,4)), "")</f>
        <v/>
      </c>
      <c r="P89" s="49" t="str">
        <f>IFERROR(VLOOKUP($Q89,Selection!$F:$G,2,false))</f>
        <v/>
      </c>
      <c r="Q89" s="50" t="str">
        <f>IF(AND($X89="change",$H89="EUR"),IF(AND($Z89="Crédit",$N89=$N90),$Q90,IF(AND($Z89="Débit",$N89=$N88),$Q88)),IF(OR(AND(OR($E89&lt;&gt;"",$L89=""),$M89&lt;&gt;0),$A89=""),IFERROR(VLOOKUP($E89,Selection!$E:$F,2,false)),IFERROR(VLOOKUP(SUBSTITUTE($I89,"-","",1),$K90:$Q1119,7,false),VLOOKUP($K89,$K90:$Q1119,7,false))))</f>
        <v/>
      </c>
      <c r="R89" s="49" t="str">
        <f t="shared" si="2"/>
        <v/>
      </c>
      <c r="S89" s="51" t="str">
        <f t="shared" si="3"/>
        <v/>
      </c>
      <c r="T89" s="52" t="str">
        <f t="shared" si="4"/>
        <v/>
      </c>
      <c r="U89" s="46" t="str">
        <f t="shared" si="5"/>
        <v/>
      </c>
      <c r="V89" s="53" t="str">
        <f>IFERROR(__xludf.DUMMYFUNCTION(" IF(Account!$F89&lt;&gt;"""", SPLIT(Account!$F89, "" ""), """")"),"")</f>
        <v/>
      </c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</row>
    <row r="90">
      <c r="A90" s="11"/>
      <c r="B90" s="11"/>
      <c r="C90" s="11"/>
      <c r="D90" s="11"/>
      <c r="E90" s="11"/>
      <c r="F90" s="12"/>
      <c r="G90" s="11"/>
      <c r="H90" s="11"/>
      <c r="I90" s="11"/>
      <c r="J90" s="11"/>
      <c r="K90" s="11"/>
      <c r="L90" s="45" t="str">
        <f t="shared" si="1"/>
        <v/>
      </c>
      <c r="M90" s="46" t="str">
        <f>IFERROR(__xludf.DUMMYFUNCTION("IF(Account!$F90&lt;&gt;"""", VALUE(REGEXREPLACE($I90, ""\,"", ""."")), """")"),"")</f>
        <v/>
      </c>
      <c r="N90" s="47" t="str">
        <f>IF(Account!$F90&lt;&gt;"", DATEVALUE(MID($A90,4,3) &amp; LEFT($A90,3) &amp; RIGHT($A90,4)) + TIMEVALUE($B90), "")</f>
        <v/>
      </c>
      <c r="O90" s="48" t="str">
        <f>IF(Account!$F90&lt;&gt;"", DATEVALUE(MID($A90,4,3) &amp; LEFT($A90,3) &amp; RIGHT($A90,4)), "")</f>
        <v/>
      </c>
      <c r="P90" s="49" t="str">
        <f>IFERROR(VLOOKUP($Q90,Selection!$F:$G,2,false))</f>
        <v/>
      </c>
      <c r="Q90" s="50" t="str">
        <f>IF(AND($X90="change",$H90="EUR"),IF(AND($Z90="Crédit",$N90=$N91),$Q91,IF(AND($Z90="Débit",$N90=$N89),$Q89)),IF(OR(AND(OR($E90&lt;&gt;"",$L90=""),$M90&lt;&gt;0),$A90=""),IFERROR(VLOOKUP($E90,Selection!$E:$F,2,false)),IFERROR(VLOOKUP(SUBSTITUTE($I90,"-","",1),$K91:$Q1119,7,false),VLOOKUP($K90,$K91:$Q1119,7,false))))</f>
        <v/>
      </c>
      <c r="R90" s="49" t="str">
        <f t="shared" si="2"/>
        <v/>
      </c>
      <c r="S90" s="51" t="str">
        <f t="shared" si="3"/>
        <v/>
      </c>
      <c r="T90" s="52" t="str">
        <f t="shared" si="4"/>
        <v/>
      </c>
      <c r="U90" s="46" t="str">
        <f t="shared" si="5"/>
        <v/>
      </c>
      <c r="V90" s="53" t="str">
        <f>IFERROR(__xludf.DUMMYFUNCTION(" IF(Account!$F90&lt;&gt;"""", SPLIT(Account!$F90, "" ""), """")"),"")</f>
        <v/>
      </c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</row>
    <row r="91">
      <c r="A91" s="11"/>
      <c r="B91" s="11"/>
      <c r="C91" s="11"/>
      <c r="D91" s="11"/>
      <c r="E91" s="11"/>
      <c r="F91" s="12"/>
      <c r="G91" s="11"/>
      <c r="H91" s="11"/>
      <c r="I91" s="11"/>
      <c r="J91" s="11"/>
      <c r="K91" s="11"/>
      <c r="L91" s="45" t="str">
        <f t="shared" si="1"/>
        <v/>
      </c>
      <c r="M91" s="46" t="str">
        <f>IFERROR(__xludf.DUMMYFUNCTION("IF(Account!$F91&lt;&gt;"""", VALUE(REGEXREPLACE($I91, ""\,"", ""."")), """")"),"")</f>
        <v/>
      </c>
      <c r="N91" s="47" t="str">
        <f>IF(Account!$F91&lt;&gt;"", DATEVALUE(MID($A91,4,3) &amp; LEFT($A91,3) &amp; RIGHT($A91,4)) + TIMEVALUE($B91), "")</f>
        <v/>
      </c>
      <c r="O91" s="48" t="str">
        <f>IF(Account!$F91&lt;&gt;"", DATEVALUE(MID($A91,4,3) &amp; LEFT($A91,3) &amp; RIGHT($A91,4)), "")</f>
        <v/>
      </c>
      <c r="P91" s="49" t="str">
        <f>IFERROR(VLOOKUP($Q91,Selection!$F:$G,2,false))</f>
        <v/>
      </c>
      <c r="Q91" s="50" t="str">
        <f>IF(AND($X91="change",$H91="EUR"),IF(AND($Z91="Crédit",$N91=$N92),$Q92,IF(AND($Z91="Débit",$N91=$N90),$Q90)),IF(OR(AND(OR($E91&lt;&gt;"",$L91=""),$M91&lt;&gt;0),$A91=""),IFERROR(VLOOKUP($E91,Selection!$E:$F,2,false)),IFERROR(VLOOKUP(SUBSTITUTE($I91,"-","",1),$K92:$Q1119,7,false),VLOOKUP($K91,$K92:$Q1119,7,false))))</f>
        <v/>
      </c>
      <c r="R91" s="49" t="str">
        <f t="shared" si="2"/>
        <v/>
      </c>
      <c r="S91" s="51" t="str">
        <f t="shared" si="3"/>
        <v/>
      </c>
      <c r="T91" s="52" t="str">
        <f t="shared" si="4"/>
        <v/>
      </c>
      <c r="U91" s="46" t="str">
        <f t="shared" si="5"/>
        <v/>
      </c>
      <c r="V91" s="53" t="str">
        <f>IFERROR(__xludf.DUMMYFUNCTION(" IF(Account!$F91&lt;&gt;"""", SPLIT(Account!$F91, "" ""), """")"),"")</f>
        <v/>
      </c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</row>
    <row r="92">
      <c r="A92" s="11"/>
      <c r="B92" s="11"/>
      <c r="C92" s="11"/>
      <c r="D92" s="11"/>
      <c r="E92" s="11"/>
      <c r="F92" s="12"/>
      <c r="G92" s="11"/>
      <c r="H92" s="11"/>
      <c r="I92" s="11"/>
      <c r="J92" s="11"/>
      <c r="K92" s="11"/>
      <c r="L92" s="45" t="str">
        <f t="shared" si="1"/>
        <v/>
      </c>
      <c r="M92" s="46" t="str">
        <f>IFERROR(__xludf.DUMMYFUNCTION("IF(Account!$F92&lt;&gt;"""", VALUE(REGEXREPLACE($I92, ""\,"", ""."")), """")"),"")</f>
        <v/>
      </c>
      <c r="N92" s="47" t="str">
        <f>IF(Account!$F92&lt;&gt;"", DATEVALUE(MID($A92,4,3) &amp; LEFT($A92,3) &amp; RIGHT($A92,4)) + TIMEVALUE($B92), "")</f>
        <v/>
      </c>
      <c r="O92" s="48" t="str">
        <f>IF(Account!$F92&lt;&gt;"", DATEVALUE(MID($A92,4,3) &amp; LEFT($A92,3) &amp; RIGHT($A92,4)), "")</f>
        <v/>
      </c>
      <c r="P92" s="49" t="str">
        <f>IFERROR(VLOOKUP($Q92,Selection!$F:$G,2,false))</f>
        <v/>
      </c>
      <c r="Q92" s="50" t="str">
        <f>IF(AND($X92="change",$H92="EUR"),IF(AND($Z92="Crédit",$N92=$N93),$Q93,IF(AND($Z92="Débit",$N92=$N91),$Q91)),IF(OR(AND(OR($E92&lt;&gt;"",$L92=""),$M92&lt;&gt;0),$A92=""),IFERROR(VLOOKUP($E92,Selection!$E:$F,2,false)),IFERROR(VLOOKUP(SUBSTITUTE($I92,"-","",1),$K93:$Q1119,7,false),VLOOKUP($K92,$K93:$Q1119,7,false))))</f>
        <v/>
      </c>
      <c r="R92" s="49" t="str">
        <f t="shared" si="2"/>
        <v/>
      </c>
      <c r="S92" s="51" t="str">
        <f t="shared" si="3"/>
        <v/>
      </c>
      <c r="T92" s="52" t="str">
        <f t="shared" si="4"/>
        <v/>
      </c>
      <c r="U92" s="46" t="str">
        <f t="shared" si="5"/>
        <v/>
      </c>
      <c r="V92" s="53" t="str">
        <f>IFERROR(__xludf.DUMMYFUNCTION(" IF(Account!$F92&lt;&gt;"""", SPLIT(Account!$F92, "" ""), """")"),"")</f>
        <v/>
      </c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</row>
    <row r="93">
      <c r="A93" s="11"/>
      <c r="B93" s="11"/>
      <c r="C93" s="11"/>
      <c r="D93" s="11"/>
      <c r="E93" s="11"/>
      <c r="F93" s="12"/>
      <c r="G93" s="11"/>
      <c r="H93" s="11"/>
      <c r="I93" s="11"/>
      <c r="J93" s="11"/>
      <c r="K93" s="11"/>
      <c r="L93" s="45" t="str">
        <f t="shared" si="1"/>
        <v/>
      </c>
      <c r="M93" s="46" t="str">
        <f>IFERROR(__xludf.DUMMYFUNCTION("IF(Account!$F93&lt;&gt;"""", VALUE(REGEXREPLACE($I93, ""\,"", ""."")), """")"),"")</f>
        <v/>
      </c>
      <c r="N93" s="47" t="str">
        <f>IF(Account!$F93&lt;&gt;"", DATEVALUE(MID($A93,4,3) &amp; LEFT($A93,3) &amp; RIGHT($A93,4)) + TIMEVALUE($B93), "")</f>
        <v/>
      </c>
      <c r="O93" s="48" t="str">
        <f>IF(Account!$F93&lt;&gt;"", DATEVALUE(MID($A93,4,3) &amp; LEFT($A93,3) &amp; RIGHT($A93,4)), "")</f>
        <v/>
      </c>
      <c r="P93" s="49" t="str">
        <f>IFERROR(VLOOKUP($Q93,Selection!$F:$G,2,false))</f>
        <v/>
      </c>
      <c r="Q93" s="50" t="str">
        <f>IF(AND($X93="change",$H93="EUR"),IF(AND($Z93="Crédit",$N93=$N94),$Q94,IF(AND($Z93="Débit",$N93=$N92),$Q92)),IF(OR(AND(OR($E93&lt;&gt;"",$L93=""),$M93&lt;&gt;0),$A93=""),IFERROR(VLOOKUP($E93,Selection!$E:$F,2,false)),IFERROR(VLOOKUP(SUBSTITUTE($I93,"-","",1),$K94:$Q1119,7,false),VLOOKUP($K93,$K94:$Q1119,7,false))))</f>
        <v/>
      </c>
      <c r="R93" s="49" t="str">
        <f t="shared" si="2"/>
        <v/>
      </c>
      <c r="S93" s="51" t="str">
        <f t="shared" si="3"/>
        <v/>
      </c>
      <c r="T93" s="52" t="str">
        <f t="shared" si="4"/>
        <v/>
      </c>
      <c r="U93" s="46" t="str">
        <f t="shared" si="5"/>
        <v/>
      </c>
      <c r="V93" s="53" t="str">
        <f>IFERROR(__xludf.DUMMYFUNCTION(" IF(Account!$F93&lt;&gt;"""", SPLIT(Account!$F93, "" ""), """")"),"")</f>
        <v/>
      </c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</row>
    <row r="94">
      <c r="A94" s="11"/>
      <c r="B94" s="11"/>
      <c r="C94" s="11"/>
      <c r="D94" s="11"/>
      <c r="E94" s="11"/>
      <c r="F94" s="12"/>
      <c r="G94" s="11"/>
      <c r="H94" s="11"/>
      <c r="I94" s="11"/>
      <c r="J94" s="11"/>
      <c r="K94" s="11"/>
      <c r="L94" s="45" t="str">
        <f t="shared" si="1"/>
        <v/>
      </c>
      <c r="M94" s="46" t="str">
        <f>IFERROR(__xludf.DUMMYFUNCTION("IF(Account!$F94&lt;&gt;"""", VALUE(REGEXREPLACE($I94, ""\,"", ""."")), """")"),"")</f>
        <v/>
      </c>
      <c r="N94" s="47" t="str">
        <f>IF(Account!$F94&lt;&gt;"", DATEVALUE(MID($A94,4,3) &amp; LEFT($A94,3) &amp; RIGHT($A94,4)) + TIMEVALUE($B94), "")</f>
        <v/>
      </c>
      <c r="O94" s="48" t="str">
        <f>IF(Account!$F94&lt;&gt;"", DATEVALUE(MID($A94,4,3) &amp; LEFT($A94,3) &amp; RIGHT($A94,4)), "")</f>
        <v/>
      </c>
      <c r="P94" s="49" t="str">
        <f>IFERROR(VLOOKUP($Q94,Selection!$F:$G,2,false))</f>
        <v/>
      </c>
      <c r="Q94" s="50" t="str">
        <f>IF(AND($X94="change",$H94="EUR"),IF(AND($Z94="Crédit",$N94=$N95),$Q95,IF(AND($Z94="Débit",$N94=$N93),$Q93)),IF(OR(AND(OR($E94&lt;&gt;"",$L94=""),$M94&lt;&gt;0),$A94=""),IFERROR(VLOOKUP($E94,Selection!$E:$F,2,false)),IFERROR(VLOOKUP(SUBSTITUTE($I94,"-","",1),$K95:$Q1119,7,false),VLOOKUP($K94,$K95:$Q1119,7,false))))</f>
        <v/>
      </c>
      <c r="R94" s="49" t="str">
        <f t="shared" si="2"/>
        <v/>
      </c>
      <c r="S94" s="51" t="str">
        <f t="shared" si="3"/>
        <v/>
      </c>
      <c r="T94" s="52" t="str">
        <f t="shared" si="4"/>
        <v/>
      </c>
      <c r="U94" s="46" t="str">
        <f t="shared" si="5"/>
        <v/>
      </c>
      <c r="V94" s="53" t="str">
        <f>IFERROR(__xludf.DUMMYFUNCTION(" IF(Account!$F94&lt;&gt;"""", SPLIT(Account!$F94, "" ""), """")"),"")</f>
        <v/>
      </c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</row>
    <row r="95">
      <c r="A95" s="11"/>
      <c r="B95" s="11"/>
      <c r="C95" s="11"/>
      <c r="D95" s="11"/>
      <c r="E95" s="11"/>
      <c r="F95" s="12"/>
      <c r="G95" s="11"/>
      <c r="H95" s="11"/>
      <c r="I95" s="11"/>
      <c r="J95" s="11"/>
      <c r="K95" s="11"/>
      <c r="L95" s="45" t="str">
        <f t="shared" si="1"/>
        <v/>
      </c>
      <c r="M95" s="46" t="str">
        <f>IFERROR(__xludf.DUMMYFUNCTION("IF(Account!$F95&lt;&gt;"""", VALUE(REGEXREPLACE($I95, ""\,"", ""."")), """")"),"")</f>
        <v/>
      </c>
      <c r="N95" s="47" t="str">
        <f>IF(Account!$F95&lt;&gt;"", DATEVALUE(MID($A95,4,3) &amp; LEFT($A95,3) &amp; RIGHT($A95,4)) + TIMEVALUE($B95), "")</f>
        <v/>
      </c>
      <c r="O95" s="48" t="str">
        <f>IF(Account!$F95&lt;&gt;"", DATEVALUE(MID($A95,4,3) &amp; LEFT($A95,3) &amp; RIGHT($A95,4)), "")</f>
        <v/>
      </c>
      <c r="P95" s="49" t="str">
        <f>IFERROR(VLOOKUP($Q95,Selection!$F:$G,2,false))</f>
        <v/>
      </c>
      <c r="Q95" s="50" t="str">
        <f>IF(AND($X95="change",$H95="EUR"),IF(AND($Z95="Crédit",$N95=$N96),$Q96,IF(AND($Z95="Débit",$N95=$N94),$Q94)),IF(OR(AND(OR($E95&lt;&gt;"",$L95=""),$M95&lt;&gt;0),$A95=""),IFERROR(VLOOKUP($E95,Selection!$E:$F,2,false)),IFERROR(VLOOKUP(SUBSTITUTE($I95,"-","",1),$K96:$Q1119,7,false),VLOOKUP($K95,$K96:$Q1119,7,false))))</f>
        <v/>
      </c>
      <c r="R95" s="49" t="str">
        <f t="shared" si="2"/>
        <v/>
      </c>
      <c r="S95" s="51" t="str">
        <f t="shared" si="3"/>
        <v/>
      </c>
      <c r="T95" s="52" t="str">
        <f t="shared" si="4"/>
        <v/>
      </c>
      <c r="U95" s="46" t="str">
        <f t="shared" si="5"/>
        <v/>
      </c>
      <c r="V95" s="53" t="str">
        <f>IFERROR(__xludf.DUMMYFUNCTION(" IF(Account!$F95&lt;&gt;"""", SPLIT(Account!$F95, "" ""), """")"),"")</f>
        <v/>
      </c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</row>
    <row r="96">
      <c r="A96" s="11"/>
      <c r="B96" s="11"/>
      <c r="C96" s="11"/>
      <c r="D96" s="11"/>
      <c r="E96" s="11"/>
      <c r="F96" s="12"/>
      <c r="G96" s="11"/>
      <c r="H96" s="11"/>
      <c r="I96" s="11"/>
      <c r="J96" s="11"/>
      <c r="K96" s="11"/>
      <c r="L96" s="45" t="str">
        <f t="shared" si="1"/>
        <v/>
      </c>
      <c r="M96" s="46" t="str">
        <f>IFERROR(__xludf.DUMMYFUNCTION("IF(Account!$F96&lt;&gt;"""", VALUE(REGEXREPLACE($I96, ""\,"", ""."")), """")"),"")</f>
        <v/>
      </c>
      <c r="N96" s="47" t="str">
        <f>IF(Account!$F96&lt;&gt;"", DATEVALUE(MID($A96,4,3) &amp; LEFT($A96,3) &amp; RIGHT($A96,4)) + TIMEVALUE($B96), "")</f>
        <v/>
      </c>
      <c r="O96" s="48" t="str">
        <f>IF(Account!$F96&lt;&gt;"", DATEVALUE(MID($A96,4,3) &amp; LEFT($A96,3) &amp; RIGHT($A96,4)), "")</f>
        <v/>
      </c>
      <c r="P96" s="49" t="str">
        <f>IFERROR(VLOOKUP($Q96,Selection!$F:$G,2,false))</f>
        <v/>
      </c>
      <c r="Q96" s="50" t="str">
        <f>IF(AND($X96="change",$H96="EUR"),IF(AND($Z96="Crédit",$N96=$N97),$Q97,IF(AND($Z96="Débit",$N96=$N95),$Q95)),IF(OR(AND(OR($E96&lt;&gt;"",$L96=""),$M96&lt;&gt;0),$A96=""),IFERROR(VLOOKUP($E96,Selection!$E:$F,2,false)),IFERROR(VLOOKUP(SUBSTITUTE($I96,"-","",1),$K97:$Q1119,7,false),VLOOKUP($K96,$K97:$Q1119,7,false))))</f>
        <v/>
      </c>
      <c r="R96" s="49" t="str">
        <f t="shared" si="2"/>
        <v/>
      </c>
      <c r="S96" s="51" t="str">
        <f t="shared" si="3"/>
        <v/>
      </c>
      <c r="T96" s="52" t="str">
        <f t="shared" si="4"/>
        <v/>
      </c>
      <c r="U96" s="46" t="str">
        <f t="shared" si="5"/>
        <v/>
      </c>
      <c r="V96" s="53" t="str">
        <f>IFERROR(__xludf.DUMMYFUNCTION(" IF(Account!$F96&lt;&gt;"""", SPLIT(Account!$F96, "" ""), """")"),"")</f>
        <v/>
      </c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</row>
    <row r="97">
      <c r="A97" s="11"/>
      <c r="B97" s="11"/>
      <c r="C97" s="11"/>
      <c r="D97" s="11"/>
      <c r="E97" s="11"/>
      <c r="F97" s="12"/>
      <c r="G97" s="11"/>
      <c r="H97" s="11"/>
      <c r="I97" s="11"/>
      <c r="J97" s="11"/>
      <c r="K97" s="11"/>
      <c r="L97" s="45" t="str">
        <f t="shared" si="1"/>
        <v/>
      </c>
      <c r="M97" s="46" t="str">
        <f>IFERROR(__xludf.DUMMYFUNCTION("IF(Account!$F97&lt;&gt;"""", VALUE(REGEXREPLACE($I97, ""\,"", ""."")), """")"),"")</f>
        <v/>
      </c>
      <c r="N97" s="47" t="str">
        <f>IF(Account!$F97&lt;&gt;"", DATEVALUE(MID($A97,4,3) &amp; LEFT($A97,3) &amp; RIGHT($A97,4)) + TIMEVALUE($B97), "")</f>
        <v/>
      </c>
      <c r="O97" s="48" t="str">
        <f>IF(Account!$F97&lt;&gt;"", DATEVALUE(MID($A97,4,3) &amp; LEFT($A97,3) &amp; RIGHT($A97,4)), "")</f>
        <v/>
      </c>
      <c r="P97" s="49" t="str">
        <f>IFERROR(VLOOKUP($Q97,Selection!$F:$G,2,false))</f>
        <v/>
      </c>
      <c r="Q97" s="50" t="str">
        <f>IF(AND($X97="change",$H97="EUR"),IF(AND($Z97="Crédit",$N97=$N98),$Q98,IF(AND($Z97="Débit",$N97=$N96),$Q96)),IF(OR(AND(OR($E97&lt;&gt;"",$L97=""),$M97&lt;&gt;0),$A97=""),IFERROR(VLOOKUP($E97,Selection!$E:$F,2,false)),IFERROR(VLOOKUP(SUBSTITUTE($I97,"-","",1),$K98:$Q1119,7,false),VLOOKUP($K97,$K98:$Q1119,7,false))))</f>
        <v/>
      </c>
      <c r="R97" s="49" t="str">
        <f t="shared" si="2"/>
        <v/>
      </c>
      <c r="S97" s="51" t="str">
        <f t="shared" si="3"/>
        <v/>
      </c>
      <c r="T97" s="52" t="str">
        <f t="shared" si="4"/>
        <v/>
      </c>
      <c r="U97" s="46" t="str">
        <f t="shared" si="5"/>
        <v/>
      </c>
      <c r="V97" s="53" t="str">
        <f>IFERROR(__xludf.DUMMYFUNCTION(" IF(Account!$F97&lt;&gt;"""", SPLIT(Account!$F97, "" ""), """")"),"")</f>
        <v/>
      </c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</row>
    <row r="98">
      <c r="A98" s="11"/>
      <c r="B98" s="11"/>
      <c r="C98" s="11"/>
      <c r="D98" s="11"/>
      <c r="E98" s="11"/>
      <c r="F98" s="12"/>
      <c r="G98" s="11"/>
      <c r="H98" s="11"/>
      <c r="I98" s="11"/>
      <c r="J98" s="11"/>
      <c r="K98" s="11"/>
      <c r="L98" s="45" t="str">
        <f t="shared" si="1"/>
        <v/>
      </c>
      <c r="M98" s="46" t="str">
        <f>IFERROR(__xludf.DUMMYFUNCTION("IF(Account!$F98&lt;&gt;"""", VALUE(REGEXREPLACE($I98, ""\,"", ""."")), """")"),"")</f>
        <v/>
      </c>
      <c r="N98" s="47" t="str">
        <f>IF(Account!$F98&lt;&gt;"", DATEVALUE(MID($A98,4,3) &amp; LEFT($A98,3) &amp; RIGHT($A98,4)) + TIMEVALUE($B98), "")</f>
        <v/>
      </c>
      <c r="O98" s="48" t="str">
        <f>IF(Account!$F98&lt;&gt;"", DATEVALUE(MID($A98,4,3) &amp; LEFT($A98,3) &amp; RIGHT($A98,4)), "")</f>
        <v/>
      </c>
      <c r="P98" s="49" t="str">
        <f>IFERROR(VLOOKUP($Q98,Selection!$F:$G,2,false))</f>
        <v/>
      </c>
      <c r="Q98" s="50" t="str">
        <f>IF(AND($X98="change",$H98="EUR"),IF(AND($Z98="Crédit",$N98=$N99),$Q99,IF(AND($Z98="Débit",$N98=$N97),$Q97)),IF(OR(AND(OR($E98&lt;&gt;"",$L98=""),$M98&lt;&gt;0),$A98=""),IFERROR(VLOOKUP($E98,Selection!$E:$F,2,false)),IFERROR(VLOOKUP(SUBSTITUTE($I98,"-","",1),$K99:$Q1119,7,false),VLOOKUP($K98,$K99:$Q1119,7,false))))</f>
        <v/>
      </c>
      <c r="R98" s="49" t="str">
        <f t="shared" si="2"/>
        <v/>
      </c>
      <c r="S98" s="51" t="str">
        <f t="shared" si="3"/>
        <v/>
      </c>
      <c r="T98" s="52" t="str">
        <f t="shared" si="4"/>
        <v/>
      </c>
      <c r="U98" s="46" t="str">
        <f t="shared" si="5"/>
        <v/>
      </c>
      <c r="V98" s="53" t="str">
        <f>IFERROR(__xludf.DUMMYFUNCTION(" IF(Account!$F98&lt;&gt;"""", SPLIT(Account!$F98, "" ""), """")"),"")</f>
        <v/>
      </c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</row>
    <row r="99">
      <c r="A99" s="11"/>
      <c r="B99" s="11"/>
      <c r="C99" s="11"/>
      <c r="D99" s="11"/>
      <c r="E99" s="11"/>
      <c r="F99" s="12"/>
      <c r="G99" s="11"/>
      <c r="H99" s="11"/>
      <c r="I99" s="11"/>
      <c r="J99" s="11"/>
      <c r="K99" s="11"/>
      <c r="L99" s="45" t="str">
        <f t="shared" si="1"/>
        <v/>
      </c>
      <c r="M99" s="46" t="str">
        <f>IFERROR(__xludf.DUMMYFUNCTION("IF(Account!$F99&lt;&gt;"""", VALUE(REGEXREPLACE($I99, ""\,"", ""."")), """")"),"")</f>
        <v/>
      </c>
      <c r="N99" s="47" t="str">
        <f>IF(Account!$F99&lt;&gt;"", DATEVALUE(MID($A99,4,3) &amp; LEFT($A99,3) &amp; RIGHT($A99,4)) + TIMEVALUE($B99), "")</f>
        <v/>
      </c>
      <c r="O99" s="48" t="str">
        <f>IF(Account!$F99&lt;&gt;"", DATEVALUE(MID($A99,4,3) &amp; LEFT($A99,3) &amp; RIGHT($A99,4)), "")</f>
        <v/>
      </c>
      <c r="P99" s="49" t="str">
        <f>IFERROR(VLOOKUP($Q99,Selection!$F:$G,2,false))</f>
        <v/>
      </c>
      <c r="Q99" s="50" t="str">
        <f>IF(AND($X99="change",$H99="EUR"),IF(AND($Z99="Crédit",$N99=$N100),$Q100,IF(AND($Z99="Débit",$N99=$N98),$Q98)),IF(OR(AND(OR($E99&lt;&gt;"",$L99=""),$M99&lt;&gt;0),$A99=""),IFERROR(VLOOKUP($E99,Selection!$E:$F,2,false)),IFERROR(VLOOKUP(SUBSTITUTE($I99,"-","",1),$K100:$Q1119,7,false),VLOOKUP($K99,$K100:$Q1119,7,false))))</f>
        <v/>
      </c>
      <c r="R99" s="49" t="str">
        <f t="shared" si="2"/>
        <v/>
      </c>
      <c r="S99" s="51" t="str">
        <f t="shared" si="3"/>
        <v/>
      </c>
      <c r="T99" s="52" t="str">
        <f t="shared" si="4"/>
        <v/>
      </c>
      <c r="U99" s="46" t="str">
        <f t="shared" si="5"/>
        <v/>
      </c>
      <c r="V99" s="53" t="str">
        <f>IFERROR(__xludf.DUMMYFUNCTION(" IF(Account!$F99&lt;&gt;"""", SPLIT(Account!$F99, "" ""), """")"),"")</f>
        <v/>
      </c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</row>
    <row r="100">
      <c r="A100" s="11"/>
      <c r="B100" s="11"/>
      <c r="C100" s="11"/>
      <c r="D100" s="11"/>
      <c r="E100" s="11"/>
      <c r="F100" s="12"/>
      <c r="G100" s="11"/>
      <c r="H100" s="11"/>
      <c r="I100" s="11"/>
      <c r="J100" s="11"/>
      <c r="K100" s="11"/>
      <c r="L100" s="45" t="str">
        <f t="shared" si="1"/>
        <v/>
      </c>
      <c r="M100" s="46" t="str">
        <f>IFERROR(__xludf.DUMMYFUNCTION("IF(Account!$F100&lt;&gt;"""", VALUE(REGEXREPLACE($I100, ""\,"", ""."")), """")"),"")</f>
        <v/>
      </c>
      <c r="N100" s="47" t="str">
        <f>IF(Account!$F100&lt;&gt;"", DATEVALUE(MID($A100,4,3) &amp; LEFT($A100,3) &amp; RIGHT($A100,4)) + TIMEVALUE($B100), "")</f>
        <v/>
      </c>
      <c r="O100" s="48" t="str">
        <f>IF(Account!$F100&lt;&gt;"", DATEVALUE(MID($A100,4,3) &amp; LEFT($A100,3) &amp; RIGHT($A100,4)), "")</f>
        <v/>
      </c>
      <c r="P100" s="49" t="str">
        <f>IFERROR(VLOOKUP($Q100,Selection!$F:$G,2,false))</f>
        <v/>
      </c>
      <c r="Q100" s="50" t="str">
        <f>IF(AND($X100="change",$H100="EUR"),IF(AND($Z100="Crédit",$N100=$N101),$Q101,IF(AND($Z100="Débit",$N100=$N99),$Q99)),IF(OR(AND(OR($E100&lt;&gt;"",$L100=""),$M100&lt;&gt;0),$A100=""),IFERROR(VLOOKUP($E100,Selection!$E:$F,2,false)),IFERROR(VLOOKUP(SUBSTITUTE($I100,"-","",1),$K101:$Q1119,7,false),VLOOKUP($K100,$K101:$Q1119,7,false))))</f>
        <v/>
      </c>
      <c r="R100" s="49" t="str">
        <f t="shared" si="2"/>
        <v/>
      </c>
      <c r="S100" s="51" t="str">
        <f t="shared" si="3"/>
        <v/>
      </c>
      <c r="T100" s="52" t="str">
        <f t="shared" si="4"/>
        <v/>
      </c>
      <c r="U100" s="46" t="str">
        <f t="shared" si="5"/>
        <v/>
      </c>
      <c r="V100" s="53" t="str">
        <f>IFERROR(__xludf.DUMMYFUNCTION(" IF(Account!$F100&lt;&gt;"""", SPLIT(Account!$F100, "" ""), """")"),"")</f>
        <v/>
      </c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</row>
    <row r="101">
      <c r="A101" s="11"/>
      <c r="B101" s="11"/>
      <c r="C101" s="11"/>
      <c r="D101" s="11"/>
      <c r="E101" s="11"/>
      <c r="F101" s="12"/>
      <c r="G101" s="11"/>
      <c r="H101" s="11"/>
      <c r="I101" s="11"/>
      <c r="J101" s="11"/>
      <c r="K101" s="11"/>
      <c r="L101" s="45" t="str">
        <f t="shared" si="1"/>
        <v/>
      </c>
      <c r="M101" s="46" t="str">
        <f>IFERROR(__xludf.DUMMYFUNCTION("IF(Account!$F101&lt;&gt;"""", VALUE(REGEXREPLACE($I101, ""\,"", ""."")), """")"),"")</f>
        <v/>
      </c>
      <c r="N101" s="47" t="str">
        <f>IF(Account!$F101&lt;&gt;"", DATEVALUE(MID($A101,4,3) &amp; LEFT($A101,3) &amp; RIGHT($A101,4)) + TIMEVALUE($B101), "")</f>
        <v/>
      </c>
      <c r="O101" s="48" t="str">
        <f>IF(Account!$F101&lt;&gt;"", DATEVALUE(MID($A101,4,3) &amp; LEFT($A101,3) &amp; RIGHT($A101,4)), "")</f>
        <v/>
      </c>
      <c r="P101" s="49" t="str">
        <f>IFERROR(VLOOKUP($Q101,Selection!$F:$G,2,false))</f>
        <v/>
      </c>
      <c r="Q101" s="50" t="str">
        <f>IF(AND($X101="change",$H101="EUR"),IF(AND($Z101="Crédit",$N101=$N102),$Q102,IF(AND($Z101="Débit",$N101=$N100),$Q100)),IF(OR(AND(OR($E101&lt;&gt;"",$L101=""),$M101&lt;&gt;0),$A101=""),IFERROR(VLOOKUP($E101,Selection!$E:$F,2,false)),IFERROR(VLOOKUP(SUBSTITUTE($I101,"-","",1),$K102:$Q1119,7,false),VLOOKUP($K101,$K102:$Q1119,7,false))))</f>
        <v/>
      </c>
      <c r="R101" s="49" t="str">
        <f t="shared" si="2"/>
        <v/>
      </c>
      <c r="S101" s="51" t="str">
        <f t="shared" si="3"/>
        <v/>
      </c>
      <c r="T101" s="52" t="str">
        <f t="shared" si="4"/>
        <v/>
      </c>
      <c r="U101" s="46" t="str">
        <f t="shared" si="5"/>
        <v/>
      </c>
      <c r="V101" s="53" t="str">
        <f>IFERROR(__xludf.DUMMYFUNCTION(" IF(Account!$F101&lt;&gt;"""", SPLIT(Account!$F101, "" ""), """")"),"")</f>
        <v/>
      </c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</row>
    <row r="102">
      <c r="A102" s="11"/>
      <c r="B102" s="11"/>
      <c r="C102" s="11"/>
      <c r="D102" s="11"/>
      <c r="E102" s="11"/>
      <c r="F102" s="12"/>
      <c r="G102" s="11"/>
      <c r="H102" s="11"/>
      <c r="I102" s="11"/>
      <c r="J102" s="11"/>
      <c r="K102" s="11"/>
      <c r="L102" s="45" t="str">
        <f t="shared" si="1"/>
        <v/>
      </c>
      <c r="M102" s="46" t="str">
        <f>IFERROR(__xludf.DUMMYFUNCTION("IF(Account!$F102&lt;&gt;"""", VALUE(REGEXREPLACE($I102, ""\,"", ""."")), """")"),"")</f>
        <v/>
      </c>
      <c r="N102" s="47" t="str">
        <f>IF(Account!$F102&lt;&gt;"", DATEVALUE(MID($A102,4,3) &amp; LEFT($A102,3) &amp; RIGHT($A102,4)) + TIMEVALUE($B102), "")</f>
        <v/>
      </c>
      <c r="O102" s="48" t="str">
        <f>IF(Account!$F102&lt;&gt;"", DATEVALUE(MID($A102,4,3) &amp; LEFT($A102,3) &amp; RIGHT($A102,4)), "")</f>
        <v/>
      </c>
      <c r="P102" s="49" t="str">
        <f>IFERROR(VLOOKUP($Q102,Selection!$F:$G,2,false))</f>
        <v/>
      </c>
      <c r="Q102" s="50" t="str">
        <f>IF(AND($X102="change",$H102="EUR"),IF(AND($Z102="Crédit",$N102=$N103),$Q103,IF(AND($Z102="Débit",$N102=$N101),$Q101)),IF(OR(AND(OR($E102&lt;&gt;"",$L102=""),$M102&lt;&gt;0),$A102=""),IFERROR(VLOOKUP($E102,Selection!$E:$F,2,false)),IFERROR(VLOOKUP(SUBSTITUTE($I102,"-","",1),$K103:$Q1119,7,false),VLOOKUP($K102,$K103:$Q1119,7,false))))</f>
        <v/>
      </c>
      <c r="R102" s="49" t="str">
        <f t="shared" si="2"/>
        <v/>
      </c>
      <c r="S102" s="51" t="str">
        <f t="shared" si="3"/>
        <v/>
      </c>
      <c r="T102" s="52" t="str">
        <f t="shared" si="4"/>
        <v/>
      </c>
      <c r="U102" s="46" t="str">
        <f t="shared" si="5"/>
        <v/>
      </c>
      <c r="V102" s="53" t="str">
        <f>IFERROR(__xludf.DUMMYFUNCTION(" IF(Account!$F102&lt;&gt;"""", SPLIT(Account!$F102, "" ""), """")"),"")</f>
        <v/>
      </c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</row>
    <row r="103">
      <c r="A103" s="11"/>
      <c r="B103" s="11"/>
      <c r="C103" s="11"/>
      <c r="D103" s="11"/>
      <c r="E103" s="11"/>
      <c r="F103" s="12"/>
      <c r="G103" s="11"/>
      <c r="H103" s="11"/>
      <c r="I103" s="11"/>
      <c r="J103" s="11"/>
      <c r="K103" s="11"/>
      <c r="L103" s="45" t="str">
        <f t="shared" si="1"/>
        <v/>
      </c>
      <c r="M103" s="46" t="str">
        <f>IFERROR(__xludf.DUMMYFUNCTION("IF(Account!$F103&lt;&gt;"""", VALUE(REGEXREPLACE($I103, ""\,"", ""."")), """")"),"")</f>
        <v/>
      </c>
      <c r="N103" s="47" t="str">
        <f>IF(Account!$F103&lt;&gt;"", DATEVALUE(MID($A103,4,3) &amp; LEFT($A103,3) &amp; RIGHT($A103,4)) + TIMEVALUE($B103), "")</f>
        <v/>
      </c>
      <c r="O103" s="48" t="str">
        <f>IF(Account!$F103&lt;&gt;"", DATEVALUE(MID($A103,4,3) &amp; LEFT($A103,3) &amp; RIGHT($A103,4)), "")</f>
        <v/>
      </c>
      <c r="P103" s="49" t="str">
        <f>IFERROR(VLOOKUP($Q103,Selection!$F:$G,2,false))</f>
        <v/>
      </c>
      <c r="Q103" s="50" t="str">
        <f>IF(AND($X103="change",$H103="EUR"),IF(AND($Z103="Crédit",$N103=$N104),$Q104,IF(AND($Z103="Débit",$N103=$N102),$Q102)),IF(OR(AND(OR($E103&lt;&gt;"",$L103=""),$M103&lt;&gt;0),$A103=""),IFERROR(VLOOKUP($E103,Selection!$E:$F,2,false)),IFERROR(VLOOKUP(SUBSTITUTE($I103,"-","",1),$K104:$Q1119,7,false),VLOOKUP($K103,$K104:$Q1119,7,false))))</f>
        <v/>
      </c>
      <c r="R103" s="49" t="str">
        <f t="shared" si="2"/>
        <v/>
      </c>
      <c r="S103" s="51" t="str">
        <f t="shared" si="3"/>
        <v/>
      </c>
      <c r="T103" s="52" t="str">
        <f t="shared" si="4"/>
        <v/>
      </c>
      <c r="U103" s="46" t="str">
        <f t="shared" si="5"/>
        <v/>
      </c>
      <c r="V103" s="53" t="str">
        <f>IFERROR(__xludf.DUMMYFUNCTION(" IF(Account!$F103&lt;&gt;"""", SPLIT(Account!$F103, "" ""), """")"),"")</f>
        <v/>
      </c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</row>
    <row r="104">
      <c r="A104" s="11"/>
      <c r="B104" s="11"/>
      <c r="C104" s="11"/>
      <c r="D104" s="11"/>
      <c r="E104" s="11"/>
      <c r="F104" s="12"/>
      <c r="G104" s="11"/>
      <c r="H104" s="11"/>
      <c r="I104" s="11"/>
      <c r="J104" s="11"/>
      <c r="K104" s="11"/>
      <c r="L104" s="45" t="str">
        <f t="shared" si="1"/>
        <v/>
      </c>
      <c r="M104" s="46" t="str">
        <f>IFERROR(__xludf.DUMMYFUNCTION("IF(Account!$F104&lt;&gt;"""", VALUE(REGEXREPLACE($I104, ""\,"", ""."")), """")"),"")</f>
        <v/>
      </c>
      <c r="N104" s="47" t="str">
        <f>IF(Account!$F104&lt;&gt;"", DATEVALUE(MID($A104,4,3) &amp; LEFT($A104,3) &amp; RIGHT($A104,4)) + TIMEVALUE($B104), "")</f>
        <v/>
      </c>
      <c r="O104" s="48" t="str">
        <f>IF(Account!$F104&lt;&gt;"", DATEVALUE(MID($A104,4,3) &amp; LEFT($A104,3) &amp; RIGHT($A104,4)), "")</f>
        <v/>
      </c>
      <c r="P104" s="49" t="str">
        <f>IFERROR(VLOOKUP($Q104,Selection!$F:$G,2,false))</f>
        <v/>
      </c>
      <c r="Q104" s="50" t="str">
        <f>IF(AND($X104="change",$H104="EUR"),IF(AND($Z104="Crédit",$N104=$N105),$Q105,IF(AND($Z104="Débit",$N104=$N103),$Q103)),IF(OR(AND(OR($E104&lt;&gt;"",$L104=""),$M104&lt;&gt;0),$A104=""),IFERROR(VLOOKUP($E104,Selection!$E:$F,2,false)),IFERROR(VLOOKUP(SUBSTITUTE($I104,"-","",1),$K105:$Q1119,7,false),VLOOKUP($K104,$K105:$Q1119,7,false))))</f>
        <v/>
      </c>
      <c r="R104" s="49" t="str">
        <f t="shared" si="2"/>
        <v/>
      </c>
      <c r="S104" s="51" t="str">
        <f t="shared" si="3"/>
        <v/>
      </c>
      <c r="T104" s="52" t="str">
        <f t="shared" si="4"/>
        <v/>
      </c>
      <c r="U104" s="46" t="str">
        <f t="shared" si="5"/>
        <v/>
      </c>
      <c r="V104" s="53" t="str">
        <f>IFERROR(__xludf.DUMMYFUNCTION(" IF(Account!$F104&lt;&gt;"""", SPLIT(Account!$F104, "" ""), """")"),"")</f>
        <v/>
      </c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</row>
    <row r="105">
      <c r="A105" s="11"/>
      <c r="B105" s="11"/>
      <c r="C105" s="11"/>
      <c r="D105" s="11"/>
      <c r="E105" s="11"/>
      <c r="F105" s="12"/>
      <c r="G105" s="11"/>
      <c r="H105" s="11"/>
      <c r="I105" s="11"/>
      <c r="J105" s="11"/>
      <c r="K105" s="11"/>
      <c r="L105" s="45" t="str">
        <f t="shared" si="1"/>
        <v/>
      </c>
      <c r="M105" s="46" t="str">
        <f>IFERROR(__xludf.DUMMYFUNCTION("IF(Account!$F105&lt;&gt;"""", VALUE(REGEXREPLACE($I105, ""\,"", ""."")), """")"),"")</f>
        <v/>
      </c>
      <c r="N105" s="47" t="str">
        <f>IF(Account!$F105&lt;&gt;"", DATEVALUE(MID($A105,4,3) &amp; LEFT($A105,3) &amp; RIGHT($A105,4)) + TIMEVALUE($B105), "")</f>
        <v/>
      </c>
      <c r="O105" s="48" t="str">
        <f>IF(Account!$F105&lt;&gt;"", DATEVALUE(MID($A105,4,3) &amp; LEFT($A105,3) &amp; RIGHT($A105,4)), "")</f>
        <v/>
      </c>
      <c r="P105" s="49" t="str">
        <f>IFERROR(VLOOKUP($Q105,Selection!$F:$G,2,false))</f>
        <v/>
      </c>
      <c r="Q105" s="50" t="str">
        <f>IF(AND($X105="change",$H105="EUR"),IF(AND($Z105="Crédit",$N105=$N106),$Q106,IF(AND($Z105="Débit",$N105=$N104),$Q104)),IF(OR(AND(OR($E105&lt;&gt;"",$L105=""),$M105&lt;&gt;0),$A105=""),IFERROR(VLOOKUP($E105,Selection!$E:$F,2,false)),IFERROR(VLOOKUP(SUBSTITUTE($I105,"-","",1),$K106:$Q1119,7,false),VLOOKUP($K105,$K106:$Q1119,7,false))))</f>
        <v/>
      </c>
      <c r="R105" s="49" t="str">
        <f t="shared" si="2"/>
        <v/>
      </c>
      <c r="S105" s="51" t="str">
        <f t="shared" si="3"/>
        <v/>
      </c>
      <c r="T105" s="52" t="str">
        <f t="shared" si="4"/>
        <v/>
      </c>
      <c r="U105" s="46" t="str">
        <f t="shared" si="5"/>
        <v/>
      </c>
      <c r="V105" s="53" t="str">
        <f>IFERROR(__xludf.DUMMYFUNCTION(" IF(Account!$F105&lt;&gt;"""", SPLIT(Account!$F105, "" ""), """")"),"")</f>
        <v/>
      </c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</row>
    <row r="106">
      <c r="A106" s="11"/>
      <c r="B106" s="11"/>
      <c r="C106" s="11"/>
      <c r="D106" s="11"/>
      <c r="E106" s="11"/>
      <c r="F106" s="12"/>
      <c r="G106" s="11"/>
      <c r="H106" s="11"/>
      <c r="I106" s="11"/>
      <c r="J106" s="11"/>
      <c r="K106" s="11"/>
      <c r="L106" s="45" t="str">
        <f t="shared" si="1"/>
        <v/>
      </c>
      <c r="M106" s="46" t="str">
        <f>IFERROR(__xludf.DUMMYFUNCTION("IF(Account!$F106&lt;&gt;"""", VALUE(REGEXREPLACE($I106, ""\,"", ""."")), """")"),"")</f>
        <v/>
      </c>
      <c r="N106" s="47" t="str">
        <f>IF(Account!$F106&lt;&gt;"", DATEVALUE(MID($A106,4,3) &amp; LEFT($A106,3) &amp; RIGHT($A106,4)) + TIMEVALUE($B106), "")</f>
        <v/>
      </c>
      <c r="O106" s="48" t="str">
        <f>IF(Account!$F106&lt;&gt;"", DATEVALUE(MID($A106,4,3) &amp; LEFT($A106,3) &amp; RIGHT($A106,4)), "")</f>
        <v/>
      </c>
      <c r="P106" s="49" t="str">
        <f>IFERROR(VLOOKUP($Q106,Selection!$F:$G,2,false))</f>
        <v/>
      </c>
      <c r="Q106" s="50" t="str">
        <f>IF(AND($X106="change",$H106="EUR"),IF(AND($Z106="Crédit",$N106=$N107),$Q107,IF(AND($Z106="Débit",$N106=$N105),$Q105)),IF(OR(AND(OR($E106&lt;&gt;"",$L106=""),$M106&lt;&gt;0),$A106=""),IFERROR(VLOOKUP($E106,Selection!$E:$F,2,false)),IFERROR(VLOOKUP(SUBSTITUTE($I106,"-","",1),$K107:$Q1119,7,false),VLOOKUP($K106,$K107:$Q1119,7,false))))</f>
        <v/>
      </c>
      <c r="R106" s="49" t="str">
        <f t="shared" si="2"/>
        <v/>
      </c>
      <c r="S106" s="51" t="str">
        <f t="shared" si="3"/>
        <v/>
      </c>
      <c r="T106" s="52" t="str">
        <f t="shared" si="4"/>
        <v/>
      </c>
      <c r="U106" s="46" t="str">
        <f t="shared" si="5"/>
        <v/>
      </c>
      <c r="V106" s="53" t="str">
        <f>IFERROR(__xludf.DUMMYFUNCTION(" IF(Account!$F106&lt;&gt;"""", SPLIT(Account!$F106, "" ""), """")"),"")</f>
        <v/>
      </c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</row>
    <row r="107">
      <c r="A107" s="11"/>
      <c r="B107" s="11"/>
      <c r="C107" s="11"/>
      <c r="D107" s="11"/>
      <c r="E107" s="11"/>
      <c r="F107" s="12"/>
      <c r="G107" s="11"/>
      <c r="H107" s="11"/>
      <c r="I107" s="11"/>
      <c r="J107" s="11"/>
      <c r="K107" s="11"/>
      <c r="L107" s="45" t="str">
        <f t="shared" si="1"/>
        <v/>
      </c>
      <c r="M107" s="46" t="str">
        <f>IFERROR(__xludf.DUMMYFUNCTION("IF(Account!$F107&lt;&gt;"""", VALUE(REGEXREPLACE($I107, ""\,"", ""."")), """")"),"")</f>
        <v/>
      </c>
      <c r="N107" s="47" t="str">
        <f>IF(Account!$F107&lt;&gt;"", DATEVALUE(MID($A107,4,3) &amp; LEFT($A107,3) &amp; RIGHT($A107,4)) + TIMEVALUE($B107), "")</f>
        <v/>
      </c>
      <c r="O107" s="48" t="str">
        <f>IF(Account!$F107&lt;&gt;"", DATEVALUE(MID($A107,4,3) &amp; LEFT($A107,3) &amp; RIGHT($A107,4)), "")</f>
        <v/>
      </c>
      <c r="P107" s="49" t="str">
        <f>IFERROR(VLOOKUP($Q107,Selection!$F:$G,2,false))</f>
        <v/>
      </c>
      <c r="Q107" s="50" t="str">
        <f>IF(AND($X107="change",$H107="EUR"),IF(AND($Z107="Crédit",$N107=$N108),$Q108,IF(AND($Z107="Débit",$N107=$N106),$Q106)),IF(OR(AND(OR($E107&lt;&gt;"",$L107=""),$M107&lt;&gt;0),$A107=""),IFERROR(VLOOKUP($E107,Selection!$E:$F,2,false)),IFERROR(VLOOKUP(SUBSTITUTE($I107,"-","",1),$K108:$Q1119,7,false),VLOOKUP($K107,$K108:$Q1119,7,false))))</f>
        <v/>
      </c>
      <c r="R107" s="49" t="str">
        <f t="shared" si="2"/>
        <v/>
      </c>
      <c r="S107" s="51" t="str">
        <f t="shared" si="3"/>
        <v/>
      </c>
      <c r="T107" s="52" t="str">
        <f t="shared" si="4"/>
        <v/>
      </c>
      <c r="U107" s="46" t="str">
        <f t="shared" si="5"/>
        <v/>
      </c>
      <c r="V107" s="53" t="str">
        <f>IFERROR(__xludf.DUMMYFUNCTION(" IF(Account!$F107&lt;&gt;"""", SPLIT(Account!$F107, "" ""), """")"),"")</f>
        <v/>
      </c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</row>
    <row r="108">
      <c r="A108" s="11"/>
      <c r="B108" s="11"/>
      <c r="C108" s="11"/>
      <c r="D108" s="11"/>
      <c r="E108" s="11"/>
      <c r="F108" s="12"/>
      <c r="G108" s="11"/>
      <c r="H108" s="11"/>
      <c r="I108" s="11"/>
      <c r="J108" s="11"/>
      <c r="K108" s="11"/>
      <c r="L108" s="45" t="str">
        <f t="shared" si="1"/>
        <v/>
      </c>
      <c r="M108" s="46" t="str">
        <f>IFERROR(__xludf.DUMMYFUNCTION("IF(Account!$F108&lt;&gt;"""", VALUE(REGEXREPLACE($I108, ""\,"", ""."")), """")"),"")</f>
        <v/>
      </c>
      <c r="N108" s="47" t="str">
        <f>IF(Account!$F108&lt;&gt;"", DATEVALUE(MID($A108,4,3) &amp; LEFT($A108,3) &amp; RIGHT($A108,4)) + TIMEVALUE($B108), "")</f>
        <v/>
      </c>
      <c r="O108" s="48" t="str">
        <f>IF(Account!$F108&lt;&gt;"", DATEVALUE(MID($A108,4,3) &amp; LEFT($A108,3) &amp; RIGHT($A108,4)), "")</f>
        <v/>
      </c>
      <c r="P108" s="49" t="str">
        <f>IFERROR(VLOOKUP($Q108,Selection!$F:$G,2,false))</f>
        <v/>
      </c>
      <c r="Q108" s="50" t="str">
        <f>IF(AND($X108="change",$H108="EUR"),IF(AND($Z108="Crédit",$N108=$N109),$Q109,IF(AND($Z108="Débit",$N108=$N107),$Q107)),IF(OR(AND(OR($E108&lt;&gt;"",$L108=""),$M108&lt;&gt;0),$A108=""),IFERROR(VLOOKUP($E108,Selection!$E:$F,2,false)),IFERROR(VLOOKUP(SUBSTITUTE($I108,"-","",1),$K109:$Q1119,7,false),VLOOKUP($K108,$K109:$Q1119,7,false))))</f>
        <v/>
      </c>
      <c r="R108" s="49" t="str">
        <f t="shared" si="2"/>
        <v/>
      </c>
      <c r="S108" s="51" t="str">
        <f t="shared" si="3"/>
        <v/>
      </c>
      <c r="T108" s="52" t="str">
        <f t="shared" si="4"/>
        <v/>
      </c>
      <c r="U108" s="46" t="str">
        <f t="shared" si="5"/>
        <v/>
      </c>
      <c r="V108" s="53" t="str">
        <f>IFERROR(__xludf.DUMMYFUNCTION(" IF(Account!$F108&lt;&gt;"""", SPLIT(Account!$F108, "" ""), """")"),"")</f>
        <v/>
      </c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</row>
    <row r="109">
      <c r="A109" s="11"/>
      <c r="B109" s="11"/>
      <c r="C109" s="11"/>
      <c r="D109" s="11"/>
      <c r="E109" s="11"/>
      <c r="F109" s="12"/>
      <c r="G109" s="11"/>
      <c r="H109" s="11"/>
      <c r="I109" s="11"/>
      <c r="J109" s="11"/>
      <c r="K109" s="11"/>
      <c r="L109" s="45" t="str">
        <f t="shared" si="1"/>
        <v/>
      </c>
      <c r="M109" s="46" t="str">
        <f>IFERROR(__xludf.DUMMYFUNCTION("IF(Account!$F109&lt;&gt;"""", VALUE(REGEXREPLACE($I109, ""\,"", ""."")), """")"),"")</f>
        <v/>
      </c>
      <c r="N109" s="47" t="str">
        <f>IF(Account!$F109&lt;&gt;"", DATEVALUE(MID($A109,4,3) &amp; LEFT($A109,3) &amp; RIGHT($A109,4)) + TIMEVALUE($B109), "")</f>
        <v/>
      </c>
      <c r="O109" s="48" t="str">
        <f>IF(Account!$F109&lt;&gt;"", DATEVALUE(MID($A109,4,3) &amp; LEFT($A109,3) &amp; RIGHT($A109,4)), "")</f>
        <v/>
      </c>
      <c r="P109" s="49" t="str">
        <f>IFERROR(VLOOKUP($Q109,Selection!$F:$G,2,false))</f>
        <v/>
      </c>
      <c r="Q109" s="50" t="str">
        <f>IF(AND($X109="change",$H109="EUR"),IF(AND($Z109="Crédit",$N109=$N110),$Q110,IF(AND($Z109="Débit",$N109=$N108),$Q108)),IF(OR(AND(OR($E109&lt;&gt;"",$L109=""),$M109&lt;&gt;0),$A109=""),IFERROR(VLOOKUP($E109,Selection!$E:$F,2,false)),IFERROR(VLOOKUP(SUBSTITUTE($I109,"-","",1),$K110:$Q1119,7,false),VLOOKUP($K109,$K110:$Q1119,7,false))))</f>
        <v/>
      </c>
      <c r="R109" s="49" t="str">
        <f t="shared" si="2"/>
        <v/>
      </c>
      <c r="S109" s="51" t="str">
        <f t="shared" si="3"/>
        <v/>
      </c>
      <c r="T109" s="52" t="str">
        <f t="shared" si="4"/>
        <v/>
      </c>
      <c r="U109" s="46" t="str">
        <f t="shared" si="5"/>
        <v/>
      </c>
      <c r="V109" s="53" t="str">
        <f>IFERROR(__xludf.DUMMYFUNCTION(" IF(Account!$F109&lt;&gt;"""", SPLIT(Account!$F109, "" ""), """")"),"")</f>
        <v/>
      </c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</row>
    <row r="110">
      <c r="A110" s="11"/>
      <c r="B110" s="11"/>
      <c r="C110" s="11"/>
      <c r="D110" s="11"/>
      <c r="E110" s="11"/>
      <c r="F110" s="12"/>
      <c r="G110" s="11"/>
      <c r="H110" s="11"/>
      <c r="I110" s="11"/>
      <c r="J110" s="11"/>
      <c r="K110" s="11"/>
      <c r="L110" s="45" t="str">
        <f t="shared" si="1"/>
        <v/>
      </c>
      <c r="M110" s="46" t="str">
        <f>IFERROR(__xludf.DUMMYFUNCTION("IF(Account!$F110&lt;&gt;"""", VALUE(REGEXREPLACE($I110, ""\,"", ""."")), """")"),"")</f>
        <v/>
      </c>
      <c r="N110" s="47" t="str">
        <f>IF(Account!$F110&lt;&gt;"", DATEVALUE(MID($A110,4,3) &amp; LEFT($A110,3) &amp; RIGHT($A110,4)) + TIMEVALUE($B110), "")</f>
        <v/>
      </c>
      <c r="O110" s="48" t="str">
        <f>IF(Account!$F110&lt;&gt;"", DATEVALUE(MID($A110,4,3) &amp; LEFT($A110,3) &amp; RIGHT($A110,4)), "")</f>
        <v/>
      </c>
      <c r="P110" s="49" t="str">
        <f>IFERROR(VLOOKUP($Q110,Selection!$F:$G,2,false))</f>
        <v/>
      </c>
      <c r="Q110" s="50" t="str">
        <f>IF(AND($X110="change",$H110="EUR"),IF(AND($Z110="Crédit",$N110=$N111),$Q111,IF(AND($Z110="Débit",$N110=$N109),$Q109)),IF(OR(AND(OR($E110&lt;&gt;"",$L110=""),$M110&lt;&gt;0),$A110=""),IFERROR(VLOOKUP($E110,Selection!$E:$F,2,false)),IFERROR(VLOOKUP(SUBSTITUTE($I110,"-","",1),$K111:$Q1119,7,false),VLOOKUP($K110,$K111:$Q1119,7,false))))</f>
        <v/>
      </c>
      <c r="R110" s="49" t="str">
        <f t="shared" si="2"/>
        <v/>
      </c>
      <c r="S110" s="51" t="str">
        <f t="shared" si="3"/>
        <v/>
      </c>
      <c r="T110" s="52" t="str">
        <f t="shared" si="4"/>
        <v/>
      </c>
      <c r="U110" s="46" t="str">
        <f t="shared" si="5"/>
        <v/>
      </c>
      <c r="V110" s="53" t="str">
        <f>IFERROR(__xludf.DUMMYFUNCTION(" IF(Account!$F110&lt;&gt;"""", SPLIT(Account!$F110, "" ""), """")"),"")</f>
        <v/>
      </c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</row>
    <row r="111">
      <c r="A111" s="11"/>
      <c r="B111" s="11"/>
      <c r="C111" s="11"/>
      <c r="D111" s="11"/>
      <c r="E111" s="11"/>
      <c r="F111" s="12"/>
      <c r="G111" s="11"/>
      <c r="H111" s="11"/>
      <c r="I111" s="11"/>
      <c r="J111" s="11"/>
      <c r="K111" s="11"/>
      <c r="L111" s="45" t="str">
        <f t="shared" si="1"/>
        <v/>
      </c>
      <c r="M111" s="46" t="str">
        <f>IFERROR(__xludf.DUMMYFUNCTION("IF(Account!$F111&lt;&gt;"""", VALUE(REGEXREPLACE($I111, ""\,"", ""."")), """")"),"")</f>
        <v/>
      </c>
      <c r="N111" s="47" t="str">
        <f>IF(Account!$F111&lt;&gt;"", DATEVALUE(MID($A111,4,3) &amp; LEFT($A111,3) &amp; RIGHT($A111,4)) + TIMEVALUE($B111), "")</f>
        <v/>
      </c>
      <c r="O111" s="48" t="str">
        <f>IF(Account!$F111&lt;&gt;"", DATEVALUE(MID($A111,4,3) &amp; LEFT($A111,3) &amp; RIGHT($A111,4)), "")</f>
        <v/>
      </c>
      <c r="P111" s="49" t="str">
        <f>IFERROR(VLOOKUP($Q111,Selection!$F:$G,2,false))</f>
        <v/>
      </c>
      <c r="Q111" s="50" t="str">
        <f>IF(AND($X111="change",$H111="EUR"),IF(AND($Z111="Crédit",$N111=$N112),$Q112,IF(AND($Z111="Débit",$N111=$N110),$Q110)),IF(OR(AND(OR($E111&lt;&gt;"",$L111=""),$M111&lt;&gt;0),$A111=""),IFERROR(VLOOKUP($E111,Selection!$E:$F,2,false)),IFERROR(VLOOKUP(SUBSTITUTE($I111,"-","",1),$K112:$Q1119,7,false),VLOOKUP($K111,$K112:$Q1119,7,false))))</f>
        <v/>
      </c>
      <c r="R111" s="49" t="str">
        <f t="shared" si="2"/>
        <v/>
      </c>
      <c r="S111" s="51" t="str">
        <f t="shared" si="3"/>
        <v/>
      </c>
      <c r="T111" s="52" t="str">
        <f t="shared" si="4"/>
        <v/>
      </c>
      <c r="U111" s="46" t="str">
        <f t="shared" si="5"/>
        <v/>
      </c>
      <c r="V111" s="53" t="str">
        <f>IFERROR(__xludf.DUMMYFUNCTION(" IF(Account!$F111&lt;&gt;"""", SPLIT(Account!$F111, "" ""), """")"),"")</f>
        <v/>
      </c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</row>
    <row r="112">
      <c r="A112" s="11"/>
      <c r="B112" s="11"/>
      <c r="C112" s="11"/>
      <c r="D112" s="11"/>
      <c r="E112" s="11"/>
      <c r="F112" s="12"/>
      <c r="G112" s="11"/>
      <c r="H112" s="11"/>
      <c r="I112" s="11"/>
      <c r="J112" s="11"/>
      <c r="K112" s="11"/>
      <c r="L112" s="45" t="str">
        <f t="shared" si="1"/>
        <v/>
      </c>
      <c r="M112" s="46" t="str">
        <f>IFERROR(__xludf.DUMMYFUNCTION("IF(Account!$F112&lt;&gt;"""", VALUE(REGEXREPLACE($I112, ""\,"", ""."")), """")"),"")</f>
        <v/>
      </c>
      <c r="N112" s="47" t="str">
        <f>IF(Account!$F112&lt;&gt;"", DATEVALUE(MID($A112,4,3) &amp; LEFT($A112,3) &amp; RIGHT($A112,4)) + TIMEVALUE($B112), "")</f>
        <v/>
      </c>
      <c r="O112" s="48" t="str">
        <f>IF(Account!$F112&lt;&gt;"", DATEVALUE(MID($A112,4,3) &amp; LEFT($A112,3) &amp; RIGHT($A112,4)), "")</f>
        <v/>
      </c>
      <c r="P112" s="49" t="str">
        <f>IFERROR(VLOOKUP($Q112,Selection!$F:$G,2,false))</f>
        <v/>
      </c>
      <c r="Q112" s="50" t="str">
        <f>IF(AND($X112="change",$H112="EUR"),IF(AND($Z112="Crédit",$N112=$N113),$Q113,IF(AND($Z112="Débit",$N112=$N111),$Q111)),IF(OR(AND(OR($E112&lt;&gt;"",$L112=""),$M112&lt;&gt;0),$A112=""),IFERROR(VLOOKUP($E112,Selection!$E:$F,2,false)),IFERROR(VLOOKUP(SUBSTITUTE($I112,"-","",1),$K113:$Q1119,7,false),VLOOKUP($K112,$K113:$Q1119,7,false))))</f>
        <v/>
      </c>
      <c r="R112" s="49" t="str">
        <f t="shared" si="2"/>
        <v/>
      </c>
      <c r="S112" s="51" t="str">
        <f t="shared" si="3"/>
        <v/>
      </c>
      <c r="T112" s="52" t="str">
        <f t="shared" si="4"/>
        <v/>
      </c>
      <c r="U112" s="46" t="str">
        <f t="shared" si="5"/>
        <v/>
      </c>
      <c r="V112" s="53" t="str">
        <f>IFERROR(__xludf.DUMMYFUNCTION(" IF(Account!$F112&lt;&gt;"""", SPLIT(Account!$F112, "" ""), """")"),"")</f>
        <v/>
      </c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</row>
    <row r="113">
      <c r="A113" s="11"/>
      <c r="B113" s="11"/>
      <c r="C113" s="11"/>
      <c r="D113" s="11"/>
      <c r="E113" s="11"/>
      <c r="F113" s="12"/>
      <c r="G113" s="11"/>
      <c r="H113" s="11"/>
      <c r="I113" s="11"/>
      <c r="J113" s="11"/>
      <c r="K113" s="11"/>
      <c r="L113" s="45" t="str">
        <f t="shared" si="1"/>
        <v/>
      </c>
      <c r="M113" s="46" t="str">
        <f>IFERROR(__xludf.DUMMYFUNCTION("IF(Account!$F113&lt;&gt;"""", VALUE(REGEXREPLACE($I113, ""\,"", ""."")), """")"),"")</f>
        <v/>
      </c>
      <c r="N113" s="47" t="str">
        <f>IF(Account!$F113&lt;&gt;"", DATEVALUE(MID($A113,4,3) &amp; LEFT($A113,3) &amp; RIGHT($A113,4)) + TIMEVALUE($B113), "")</f>
        <v/>
      </c>
      <c r="O113" s="48" t="str">
        <f>IF(Account!$F113&lt;&gt;"", DATEVALUE(MID($A113,4,3) &amp; LEFT($A113,3) &amp; RIGHT($A113,4)), "")</f>
        <v/>
      </c>
      <c r="P113" s="49" t="str">
        <f>IFERROR(VLOOKUP($Q113,Selection!$F:$G,2,false))</f>
        <v/>
      </c>
      <c r="Q113" s="50" t="str">
        <f>IF(AND($X113="change",$H113="EUR"),IF(AND($Z113="Crédit",$N113=$N114),$Q114,IF(AND($Z113="Débit",$N113=$N112),$Q112)),IF(OR(AND(OR($E113&lt;&gt;"",$L113=""),$M113&lt;&gt;0),$A113=""),IFERROR(VLOOKUP($E113,Selection!$E:$F,2,false)),IFERROR(VLOOKUP(SUBSTITUTE($I113,"-","",1),$K114:$Q1119,7,false),VLOOKUP($K113,$K114:$Q1119,7,false))))</f>
        <v/>
      </c>
      <c r="R113" s="49" t="str">
        <f t="shared" si="2"/>
        <v/>
      </c>
      <c r="S113" s="51" t="str">
        <f t="shared" si="3"/>
        <v/>
      </c>
      <c r="T113" s="52" t="str">
        <f t="shared" si="4"/>
        <v/>
      </c>
      <c r="U113" s="46" t="str">
        <f t="shared" si="5"/>
        <v/>
      </c>
      <c r="V113" s="53" t="str">
        <f>IFERROR(__xludf.DUMMYFUNCTION(" IF(Account!$F113&lt;&gt;"""", SPLIT(Account!$F113, "" ""), """")"),"")</f>
        <v/>
      </c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</row>
    <row r="114">
      <c r="A114" s="11"/>
      <c r="B114" s="11"/>
      <c r="C114" s="11"/>
      <c r="D114" s="11"/>
      <c r="E114" s="11"/>
      <c r="F114" s="12"/>
      <c r="G114" s="11"/>
      <c r="H114" s="11"/>
      <c r="I114" s="11"/>
      <c r="J114" s="11"/>
      <c r="K114" s="11"/>
      <c r="L114" s="45" t="str">
        <f t="shared" si="1"/>
        <v/>
      </c>
      <c r="M114" s="46" t="str">
        <f>IFERROR(__xludf.DUMMYFUNCTION("IF(Account!$F114&lt;&gt;"""", VALUE(REGEXREPLACE($I114, ""\,"", ""."")), """")"),"")</f>
        <v/>
      </c>
      <c r="N114" s="47" t="str">
        <f>IF(Account!$F114&lt;&gt;"", DATEVALUE(MID($A114,4,3) &amp; LEFT($A114,3) &amp; RIGHT($A114,4)) + TIMEVALUE($B114), "")</f>
        <v/>
      </c>
      <c r="O114" s="48" t="str">
        <f>IF(Account!$F114&lt;&gt;"", DATEVALUE(MID($A114,4,3) &amp; LEFT($A114,3) &amp; RIGHT($A114,4)), "")</f>
        <v/>
      </c>
      <c r="P114" s="49" t="str">
        <f>IFERROR(VLOOKUP($Q114,Selection!$F:$G,2,false))</f>
        <v/>
      </c>
      <c r="Q114" s="50" t="str">
        <f>IF(AND($X114="change",$H114="EUR"),IF(AND($Z114="Crédit",$N114=$N115),$Q115,IF(AND($Z114="Débit",$N114=$N113),$Q113)),IF(OR(AND(OR($E114&lt;&gt;"",$L114=""),$M114&lt;&gt;0),$A114=""),IFERROR(VLOOKUP($E114,Selection!$E:$F,2,false)),IFERROR(VLOOKUP(SUBSTITUTE($I114,"-","",1),$K115:$Q1119,7,false),VLOOKUP($K114,$K115:$Q1119,7,false))))</f>
        <v/>
      </c>
      <c r="R114" s="49" t="str">
        <f t="shared" si="2"/>
        <v/>
      </c>
      <c r="S114" s="51" t="str">
        <f t="shared" si="3"/>
        <v/>
      </c>
      <c r="T114" s="52" t="str">
        <f t="shared" si="4"/>
        <v/>
      </c>
      <c r="U114" s="46" t="str">
        <f t="shared" si="5"/>
        <v/>
      </c>
      <c r="V114" s="53" t="str">
        <f>IFERROR(__xludf.DUMMYFUNCTION(" IF(Account!$F114&lt;&gt;"""", SPLIT(Account!$F114, "" ""), """")"),"")</f>
        <v/>
      </c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</row>
    <row r="115">
      <c r="A115" s="11"/>
      <c r="B115" s="11"/>
      <c r="C115" s="11"/>
      <c r="D115" s="11"/>
      <c r="E115" s="11"/>
      <c r="F115" s="12"/>
      <c r="G115" s="11"/>
      <c r="H115" s="11"/>
      <c r="I115" s="11"/>
      <c r="J115" s="11"/>
      <c r="K115" s="11"/>
      <c r="L115" s="45" t="str">
        <f t="shared" si="1"/>
        <v/>
      </c>
      <c r="M115" s="46" t="str">
        <f>IFERROR(__xludf.DUMMYFUNCTION("IF(Account!$F115&lt;&gt;"""", VALUE(REGEXREPLACE($I115, ""\,"", ""."")), """")"),"")</f>
        <v/>
      </c>
      <c r="N115" s="47" t="str">
        <f>IF(Account!$F115&lt;&gt;"", DATEVALUE(MID($A115,4,3) &amp; LEFT($A115,3) &amp; RIGHT($A115,4)) + TIMEVALUE($B115), "")</f>
        <v/>
      </c>
      <c r="O115" s="48" t="str">
        <f>IF(Account!$F115&lt;&gt;"", DATEVALUE(MID($A115,4,3) &amp; LEFT($A115,3) &amp; RIGHT($A115,4)), "")</f>
        <v/>
      </c>
      <c r="P115" s="49" t="str">
        <f>IFERROR(VLOOKUP($Q115,Selection!$F:$G,2,false))</f>
        <v/>
      </c>
      <c r="Q115" s="50" t="str">
        <f>IF(AND($X115="change",$H115="EUR"),IF(AND($Z115="Crédit",$N115=$N116),$Q116,IF(AND($Z115="Débit",$N115=$N114),$Q114)),IF(OR(AND(OR($E115&lt;&gt;"",$L115=""),$M115&lt;&gt;0),$A115=""),IFERROR(VLOOKUP($E115,Selection!$E:$F,2,false)),IFERROR(VLOOKUP(SUBSTITUTE($I115,"-","",1),$K116:$Q1119,7,false),VLOOKUP($K115,$K116:$Q1119,7,false))))</f>
        <v/>
      </c>
      <c r="R115" s="49" t="str">
        <f t="shared" si="2"/>
        <v/>
      </c>
      <c r="S115" s="51" t="str">
        <f t="shared" si="3"/>
        <v/>
      </c>
      <c r="T115" s="52" t="str">
        <f t="shared" si="4"/>
        <v/>
      </c>
      <c r="U115" s="46" t="str">
        <f t="shared" si="5"/>
        <v/>
      </c>
      <c r="V115" s="53" t="str">
        <f>IFERROR(__xludf.DUMMYFUNCTION(" IF(Account!$F115&lt;&gt;"""", SPLIT(Account!$F115, "" ""), """")"),"")</f>
        <v/>
      </c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</row>
    <row r="116">
      <c r="A116" s="11"/>
      <c r="B116" s="11"/>
      <c r="C116" s="11"/>
      <c r="D116" s="11"/>
      <c r="E116" s="11"/>
      <c r="F116" s="12"/>
      <c r="G116" s="11"/>
      <c r="H116" s="11"/>
      <c r="I116" s="11"/>
      <c r="J116" s="11"/>
      <c r="K116" s="11"/>
      <c r="L116" s="45" t="str">
        <f t="shared" si="1"/>
        <v/>
      </c>
      <c r="M116" s="46" t="str">
        <f>IFERROR(__xludf.DUMMYFUNCTION("IF(Account!$F116&lt;&gt;"""", VALUE(REGEXREPLACE($I116, ""\,"", ""."")), """")"),"")</f>
        <v/>
      </c>
      <c r="N116" s="47" t="str">
        <f>IF(Account!$F116&lt;&gt;"", DATEVALUE(MID($A116,4,3) &amp; LEFT($A116,3) &amp; RIGHT($A116,4)) + TIMEVALUE($B116), "")</f>
        <v/>
      </c>
      <c r="O116" s="48" t="str">
        <f>IF(Account!$F116&lt;&gt;"", DATEVALUE(MID($A116,4,3) &amp; LEFT($A116,3) &amp; RIGHT($A116,4)), "")</f>
        <v/>
      </c>
      <c r="P116" s="49" t="str">
        <f>IFERROR(VLOOKUP($Q116,Selection!$F:$G,2,false))</f>
        <v/>
      </c>
      <c r="Q116" s="50" t="str">
        <f>IF(AND($X116="change",$H116="EUR"),IF(AND($Z116="Crédit",$N116=$N117),$Q117,IF(AND($Z116="Débit",$N116=$N115),$Q115)),IF(OR(AND(OR($E116&lt;&gt;"",$L116=""),$M116&lt;&gt;0),$A116=""),IFERROR(VLOOKUP($E116,Selection!$E:$F,2,false)),IFERROR(VLOOKUP(SUBSTITUTE($I116,"-","",1),$K117:$Q1119,7,false),VLOOKUP($K116,$K117:$Q1119,7,false))))</f>
        <v/>
      </c>
      <c r="R116" s="49" t="str">
        <f t="shared" si="2"/>
        <v/>
      </c>
      <c r="S116" s="51" t="str">
        <f t="shared" si="3"/>
        <v/>
      </c>
      <c r="T116" s="52" t="str">
        <f t="shared" si="4"/>
        <v/>
      </c>
      <c r="U116" s="46" t="str">
        <f t="shared" si="5"/>
        <v/>
      </c>
      <c r="V116" s="53" t="str">
        <f>IFERROR(__xludf.DUMMYFUNCTION(" IF(Account!$F116&lt;&gt;"""", SPLIT(Account!$F116, "" ""), """")"),"")</f>
        <v/>
      </c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</row>
    <row r="117">
      <c r="A117" s="11"/>
      <c r="B117" s="11"/>
      <c r="C117" s="11"/>
      <c r="D117" s="11"/>
      <c r="E117" s="11"/>
      <c r="F117" s="12"/>
      <c r="G117" s="11"/>
      <c r="H117" s="11"/>
      <c r="I117" s="11"/>
      <c r="J117" s="11"/>
      <c r="K117" s="11"/>
      <c r="L117" s="45" t="str">
        <f t="shared" si="1"/>
        <v/>
      </c>
      <c r="M117" s="46" t="str">
        <f>IFERROR(__xludf.DUMMYFUNCTION("IF(Account!$F117&lt;&gt;"""", VALUE(REGEXREPLACE($I117, ""\,"", ""."")), """")"),"")</f>
        <v/>
      </c>
      <c r="N117" s="47" t="str">
        <f>IF(Account!$F117&lt;&gt;"", DATEVALUE(MID($A117,4,3) &amp; LEFT($A117,3) &amp; RIGHT($A117,4)) + TIMEVALUE($B117), "")</f>
        <v/>
      </c>
      <c r="O117" s="48" t="str">
        <f>IF(Account!$F117&lt;&gt;"", DATEVALUE(MID($A117,4,3) &amp; LEFT($A117,3) &amp; RIGHT($A117,4)), "")</f>
        <v/>
      </c>
      <c r="P117" s="49" t="str">
        <f>IFERROR(VLOOKUP($Q117,Selection!$F:$G,2,false))</f>
        <v/>
      </c>
      <c r="Q117" s="50" t="str">
        <f>IF(AND($X117="change",$H117="EUR"),IF(AND($Z117="Crédit",$N117=$N118),$Q118,IF(AND($Z117="Débit",$N117=$N116),$Q116)),IF(OR(AND(OR($E117&lt;&gt;"",$L117=""),$M117&lt;&gt;0),$A117=""),IFERROR(VLOOKUP($E117,Selection!$E:$F,2,false)),IFERROR(VLOOKUP(SUBSTITUTE($I117,"-","",1),$K118:$Q1119,7,false),VLOOKUP($K117,$K118:$Q1119,7,false))))</f>
        <v/>
      </c>
      <c r="R117" s="49" t="str">
        <f t="shared" si="2"/>
        <v/>
      </c>
      <c r="S117" s="51" t="str">
        <f t="shared" si="3"/>
        <v/>
      </c>
      <c r="T117" s="52" t="str">
        <f t="shared" si="4"/>
        <v/>
      </c>
      <c r="U117" s="46" t="str">
        <f t="shared" si="5"/>
        <v/>
      </c>
      <c r="V117" s="53" t="str">
        <f>IFERROR(__xludf.DUMMYFUNCTION(" IF(Account!$F117&lt;&gt;"""", SPLIT(Account!$F117, "" ""), """")"),"")</f>
        <v/>
      </c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</row>
    <row r="118">
      <c r="A118" s="11"/>
      <c r="B118" s="11"/>
      <c r="C118" s="11"/>
      <c r="D118" s="11"/>
      <c r="E118" s="11"/>
      <c r="F118" s="12"/>
      <c r="G118" s="11"/>
      <c r="H118" s="11"/>
      <c r="I118" s="11"/>
      <c r="J118" s="11"/>
      <c r="K118" s="11"/>
      <c r="L118" s="45" t="str">
        <f t="shared" si="1"/>
        <v/>
      </c>
      <c r="M118" s="46" t="str">
        <f>IFERROR(__xludf.DUMMYFUNCTION("IF(Account!$F118&lt;&gt;"""", VALUE(REGEXREPLACE($I118, ""\,"", ""."")), """")"),"")</f>
        <v/>
      </c>
      <c r="N118" s="47" t="str">
        <f>IF(Account!$F118&lt;&gt;"", DATEVALUE(MID($A118,4,3) &amp; LEFT($A118,3) &amp; RIGHT($A118,4)) + TIMEVALUE($B118), "")</f>
        <v/>
      </c>
      <c r="O118" s="48" t="str">
        <f>IF(Account!$F118&lt;&gt;"", DATEVALUE(MID($A118,4,3) &amp; LEFT($A118,3) &amp; RIGHT($A118,4)), "")</f>
        <v/>
      </c>
      <c r="P118" s="49" t="str">
        <f>IFERROR(VLOOKUP($Q118,Selection!$F:$G,2,false))</f>
        <v/>
      </c>
      <c r="Q118" s="50" t="str">
        <f>IF(AND($X118="change",$H118="EUR"),IF(AND($Z118="Crédit",$N118=$N119),$Q119,IF(AND($Z118="Débit",$N118=$N117),$Q117)),IF(OR(AND(OR($E118&lt;&gt;"",$L118=""),$M118&lt;&gt;0),$A118=""),IFERROR(VLOOKUP($E118,Selection!$E:$F,2,false)),IFERROR(VLOOKUP(SUBSTITUTE($I118,"-","",1),$K119:$Q1119,7,false),VLOOKUP($K118,$K119:$Q1119,7,false))))</f>
        <v/>
      </c>
      <c r="R118" s="49" t="str">
        <f t="shared" si="2"/>
        <v/>
      </c>
      <c r="S118" s="51" t="str">
        <f t="shared" si="3"/>
        <v/>
      </c>
      <c r="T118" s="52" t="str">
        <f t="shared" si="4"/>
        <v/>
      </c>
      <c r="U118" s="46" t="str">
        <f t="shared" si="5"/>
        <v/>
      </c>
      <c r="V118" s="53" t="str">
        <f>IFERROR(__xludf.DUMMYFUNCTION(" IF(Account!$F118&lt;&gt;"""", SPLIT(Account!$F118, "" ""), """")"),"")</f>
        <v/>
      </c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</row>
    <row r="119">
      <c r="A119" s="11"/>
      <c r="B119" s="11"/>
      <c r="C119" s="11"/>
      <c r="D119" s="11"/>
      <c r="E119" s="11"/>
      <c r="F119" s="12"/>
      <c r="G119" s="11"/>
      <c r="H119" s="11"/>
      <c r="I119" s="11"/>
      <c r="J119" s="11"/>
      <c r="K119" s="11"/>
      <c r="L119" s="45" t="str">
        <f t="shared" si="1"/>
        <v/>
      </c>
      <c r="M119" s="46" t="str">
        <f>IFERROR(__xludf.DUMMYFUNCTION("IF(Account!$F119&lt;&gt;"""", VALUE(REGEXREPLACE($I119, ""\,"", ""."")), """")"),"")</f>
        <v/>
      </c>
      <c r="N119" s="47" t="str">
        <f>IF(Account!$F119&lt;&gt;"", DATEVALUE(MID($A119,4,3) &amp; LEFT($A119,3) &amp; RIGHT($A119,4)) + TIMEVALUE($B119), "")</f>
        <v/>
      </c>
      <c r="O119" s="48" t="str">
        <f>IF(Account!$F119&lt;&gt;"", DATEVALUE(MID($A119,4,3) &amp; LEFT($A119,3) &amp; RIGHT($A119,4)), "")</f>
        <v/>
      </c>
      <c r="P119" s="49" t="str">
        <f>IFERROR(VLOOKUP($Q119,Selection!$F:$G,2,false))</f>
        <v/>
      </c>
      <c r="Q119" s="50" t="str">
        <f>IF(AND($X119="change",$H119="EUR"),IF(AND($Z119="Crédit",$N119=$N120),$Q120,IF(AND($Z119="Débit",$N119=$N118),$Q118)),IF(OR(AND(OR($E119&lt;&gt;"",$L119=""),$M119&lt;&gt;0),$A119=""),IFERROR(VLOOKUP($E119,Selection!$E:$F,2,false)),IFERROR(VLOOKUP(SUBSTITUTE($I119,"-","",1),$K120:$Q1119,7,false),VLOOKUP($K119,$K120:$Q1119,7,false))))</f>
        <v/>
      </c>
      <c r="R119" s="49" t="str">
        <f t="shared" si="2"/>
        <v/>
      </c>
      <c r="S119" s="51" t="str">
        <f t="shared" si="3"/>
        <v/>
      </c>
      <c r="T119" s="52" t="str">
        <f t="shared" si="4"/>
        <v/>
      </c>
      <c r="U119" s="46" t="str">
        <f t="shared" si="5"/>
        <v/>
      </c>
      <c r="V119" s="53" t="str">
        <f>IFERROR(__xludf.DUMMYFUNCTION(" IF(Account!$F119&lt;&gt;"""", SPLIT(Account!$F119, "" ""), """")"),"")</f>
        <v/>
      </c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</row>
    <row r="120">
      <c r="A120" s="11"/>
      <c r="B120" s="11"/>
      <c r="C120" s="11"/>
      <c r="D120" s="11"/>
      <c r="E120" s="11"/>
      <c r="F120" s="12"/>
      <c r="G120" s="11"/>
      <c r="H120" s="11"/>
      <c r="I120" s="11"/>
      <c r="J120" s="11"/>
      <c r="K120" s="11"/>
      <c r="L120" s="45" t="str">
        <f t="shared" si="1"/>
        <v/>
      </c>
      <c r="M120" s="46" t="str">
        <f>IFERROR(__xludf.DUMMYFUNCTION("IF(Account!$F120&lt;&gt;"""", VALUE(REGEXREPLACE($I120, ""\,"", ""."")), """")"),"")</f>
        <v/>
      </c>
      <c r="N120" s="47" t="str">
        <f>IF(Account!$F120&lt;&gt;"", DATEVALUE(MID($A120,4,3) &amp; LEFT($A120,3) &amp; RIGHT($A120,4)) + TIMEVALUE($B120), "")</f>
        <v/>
      </c>
      <c r="O120" s="48" t="str">
        <f>IF(Account!$F120&lt;&gt;"", DATEVALUE(MID($A120,4,3) &amp; LEFT($A120,3) &amp; RIGHT($A120,4)), "")</f>
        <v/>
      </c>
      <c r="P120" s="49" t="str">
        <f>IFERROR(VLOOKUP($Q120,Selection!$F:$G,2,false))</f>
        <v/>
      </c>
      <c r="Q120" s="50" t="str">
        <f>IF(AND($X120="change",$H120="EUR"),IF(AND($Z120="Crédit",$N120=$N121),$Q121,IF(AND($Z120="Débit",$N120=$N119),$Q119)),IF(OR(AND(OR($E120&lt;&gt;"",$L120=""),$M120&lt;&gt;0),$A120=""),IFERROR(VLOOKUP($E120,Selection!$E:$F,2,false)),IFERROR(VLOOKUP(SUBSTITUTE($I120,"-","",1),$K121:$Q1119,7,false),VLOOKUP($K120,$K121:$Q1119,7,false))))</f>
        <v/>
      </c>
      <c r="R120" s="49" t="str">
        <f t="shared" si="2"/>
        <v/>
      </c>
      <c r="S120" s="51" t="str">
        <f t="shared" si="3"/>
        <v/>
      </c>
      <c r="T120" s="52" t="str">
        <f t="shared" si="4"/>
        <v/>
      </c>
      <c r="U120" s="46" t="str">
        <f t="shared" si="5"/>
        <v/>
      </c>
      <c r="V120" s="53" t="str">
        <f>IFERROR(__xludf.DUMMYFUNCTION(" IF(Account!$F120&lt;&gt;"""", SPLIT(Account!$F120, "" ""), """")"),"")</f>
        <v/>
      </c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</row>
    <row r="121">
      <c r="A121" s="11"/>
      <c r="B121" s="11"/>
      <c r="C121" s="11"/>
      <c r="D121" s="11"/>
      <c r="E121" s="11"/>
      <c r="F121" s="12"/>
      <c r="G121" s="11"/>
      <c r="H121" s="11"/>
      <c r="I121" s="11"/>
      <c r="J121" s="11"/>
      <c r="K121" s="11"/>
      <c r="L121" s="45" t="str">
        <f t="shared" si="1"/>
        <v/>
      </c>
      <c r="M121" s="46" t="str">
        <f>IFERROR(__xludf.DUMMYFUNCTION("IF(Account!$F121&lt;&gt;"""", VALUE(REGEXREPLACE($I121, ""\,"", ""."")), """")"),"")</f>
        <v/>
      </c>
      <c r="N121" s="47" t="str">
        <f>IF(Account!$F121&lt;&gt;"", DATEVALUE(MID($A121,4,3) &amp; LEFT($A121,3) &amp; RIGHT($A121,4)) + TIMEVALUE($B121), "")</f>
        <v/>
      </c>
      <c r="O121" s="48" t="str">
        <f>IF(Account!$F121&lt;&gt;"", DATEVALUE(MID($A121,4,3) &amp; LEFT($A121,3) &amp; RIGHT($A121,4)), "")</f>
        <v/>
      </c>
      <c r="P121" s="49" t="str">
        <f>IFERROR(VLOOKUP($Q121,Selection!$F:$G,2,false))</f>
        <v/>
      </c>
      <c r="Q121" s="50" t="str">
        <f>IF(AND($X121="change",$H121="EUR"),IF(AND($Z121="Crédit",$N121=$N122),$Q122,IF(AND($Z121="Débit",$N121=$N120),$Q120)),IF(OR(AND(OR($E121&lt;&gt;"",$L121=""),$M121&lt;&gt;0),$A121=""),IFERROR(VLOOKUP($E121,Selection!$E:$F,2,false)),IFERROR(VLOOKUP(SUBSTITUTE($I121,"-","",1),$K122:$Q1119,7,false),VLOOKUP($K121,$K122:$Q1119,7,false))))</f>
        <v/>
      </c>
      <c r="R121" s="49" t="str">
        <f t="shared" si="2"/>
        <v/>
      </c>
      <c r="S121" s="51" t="str">
        <f t="shared" si="3"/>
        <v/>
      </c>
      <c r="T121" s="52" t="str">
        <f t="shared" si="4"/>
        <v/>
      </c>
      <c r="U121" s="46" t="str">
        <f t="shared" si="5"/>
        <v/>
      </c>
      <c r="V121" s="53" t="str">
        <f>IFERROR(__xludf.DUMMYFUNCTION(" IF(Account!$F121&lt;&gt;"""", SPLIT(Account!$F121, "" ""), """")"),"")</f>
        <v/>
      </c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</row>
    <row r="122">
      <c r="A122" s="11"/>
      <c r="B122" s="11"/>
      <c r="C122" s="11"/>
      <c r="D122" s="11"/>
      <c r="E122" s="11"/>
      <c r="F122" s="12"/>
      <c r="G122" s="11"/>
      <c r="H122" s="11"/>
      <c r="I122" s="11"/>
      <c r="J122" s="11"/>
      <c r="K122" s="11"/>
      <c r="L122" s="45" t="str">
        <f t="shared" si="1"/>
        <v/>
      </c>
      <c r="M122" s="46" t="str">
        <f>IFERROR(__xludf.DUMMYFUNCTION("IF(Account!$F122&lt;&gt;"""", VALUE(REGEXREPLACE($I122, ""\,"", ""."")), """")"),"")</f>
        <v/>
      </c>
      <c r="N122" s="47" t="str">
        <f>IF(Account!$F122&lt;&gt;"", DATEVALUE(MID($A122,4,3) &amp; LEFT($A122,3) &amp; RIGHT($A122,4)) + TIMEVALUE($B122), "")</f>
        <v/>
      </c>
      <c r="O122" s="48" t="str">
        <f>IF(Account!$F122&lt;&gt;"", DATEVALUE(MID($A122,4,3) &amp; LEFT($A122,3) &amp; RIGHT($A122,4)), "")</f>
        <v/>
      </c>
      <c r="P122" s="49" t="str">
        <f>IFERROR(VLOOKUP($Q122,Selection!$F:$G,2,false))</f>
        <v/>
      </c>
      <c r="Q122" s="50" t="str">
        <f>IF(AND($X122="change",$H122="EUR"),IF(AND($Z122="Crédit",$N122=$N123),$Q123,IF(AND($Z122="Débit",$N122=$N121),$Q121)),IF(OR(AND(OR($E122&lt;&gt;"",$L122=""),$M122&lt;&gt;0),$A122=""),IFERROR(VLOOKUP($E122,Selection!$E:$F,2,false)),IFERROR(VLOOKUP(SUBSTITUTE($I122,"-","",1),$K123:$Q1119,7,false),VLOOKUP($K122,$K123:$Q1119,7,false))))</f>
        <v/>
      </c>
      <c r="R122" s="49" t="str">
        <f t="shared" si="2"/>
        <v/>
      </c>
      <c r="S122" s="51" t="str">
        <f t="shared" si="3"/>
        <v/>
      </c>
      <c r="T122" s="52" t="str">
        <f t="shared" si="4"/>
        <v/>
      </c>
      <c r="U122" s="46" t="str">
        <f t="shared" si="5"/>
        <v/>
      </c>
      <c r="V122" s="53" t="str">
        <f>IFERROR(__xludf.DUMMYFUNCTION(" IF(Account!$F122&lt;&gt;"""", SPLIT(Account!$F122, "" ""), """")"),"")</f>
        <v/>
      </c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</row>
    <row r="123">
      <c r="A123" s="11"/>
      <c r="B123" s="11"/>
      <c r="C123" s="11"/>
      <c r="D123" s="11"/>
      <c r="E123" s="11"/>
      <c r="F123" s="12"/>
      <c r="G123" s="11"/>
      <c r="H123" s="11"/>
      <c r="I123" s="11"/>
      <c r="J123" s="11"/>
      <c r="K123" s="11"/>
      <c r="L123" s="45" t="str">
        <f t="shared" si="1"/>
        <v/>
      </c>
      <c r="M123" s="46" t="str">
        <f>IFERROR(__xludf.DUMMYFUNCTION("IF(Account!$F123&lt;&gt;"""", VALUE(REGEXREPLACE($I123, ""\,"", ""."")), """")"),"")</f>
        <v/>
      </c>
      <c r="N123" s="47" t="str">
        <f>IF(Account!$F123&lt;&gt;"", DATEVALUE(MID($A123,4,3) &amp; LEFT($A123,3) &amp; RIGHT($A123,4)) + TIMEVALUE($B123), "")</f>
        <v/>
      </c>
      <c r="O123" s="48" t="str">
        <f>IF(Account!$F123&lt;&gt;"", DATEVALUE(MID($A123,4,3) &amp; LEFT($A123,3) &amp; RIGHT($A123,4)), "")</f>
        <v/>
      </c>
      <c r="P123" s="49" t="str">
        <f>IFERROR(VLOOKUP($Q123,Selection!$F:$G,2,false))</f>
        <v/>
      </c>
      <c r="Q123" s="50" t="str">
        <f>IF(AND($X123="change",$H123="EUR"),IF(AND($Z123="Crédit",$N123=$N124),$Q124,IF(AND($Z123="Débit",$N123=$N122),$Q122)),IF(OR(AND(OR($E123&lt;&gt;"",$L123=""),$M123&lt;&gt;0),$A123=""),IFERROR(VLOOKUP($E123,Selection!$E:$F,2,false)),IFERROR(VLOOKUP(SUBSTITUTE($I123,"-","",1),$K124:$Q1119,7,false),VLOOKUP($K123,$K124:$Q1119,7,false))))</f>
        <v/>
      </c>
      <c r="R123" s="49" t="str">
        <f t="shared" si="2"/>
        <v/>
      </c>
      <c r="S123" s="51" t="str">
        <f t="shared" si="3"/>
        <v/>
      </c>
      <c r="T123" s="52" t="str">
        <f t="shared" si="4"/>
        <v/>
      </c>
      <c r="U123" s="46" t="str">
        <f t="shared" si="5"/>
        <v/>
      </c>
      <c r="V123" s="53" t="str">
        <f>IFERROR(__xludf.DUMMYFUNCTION(" IF(Account!$F123&lt;&gt;"""", SPLIT(Account!$F123, "" ""), """")"),"")</f>
        <v/>
      </c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</row>
    <row r="124">
      <c r="A124" s="11"/>
      <c r="B124" s="11"/>
      <c r="C124" s="11"/>
      <c r="D124" s="11"/>
      <c r="E124" s="11"/>
      <c r="F124" s="12"/>
      <c r="G124" s="11"/>
      <c r="H124" s="11"/>
      <c r="I124" s="11"/>
      <c r="J124" s="11"/>
      <c r="K124" s="11"/>
      <c r="L124" s="45" t="str">
        <f t="shared" si="1"/>
        <v/>
      </c>
      <c r="M124" s="46" t="str">
        <f>IFERROR(__xludf.DUMMYFUNCTION("IF(Account!$F124&lt;&gt;"""", VALUE(REGEXREPLACE($I124, ""\,"", ""."")), """")"),"")</f>
        <v/>
      </c>
      <c r="N124" s="47" t="str">
        <f>IF(Account!$F124&lt;&gt;"", DATEVALUE(MID($A124,4,3) &amp; LEFT($A124,3) &amp; RIGHT($A124,4)) + TIMEVALUE($B124), "")</f>
        <v/>
      </c>
      <c r="O124" s="48" t="str">
        <f>IF(Account!$F124&lt;&gt;"", DATEVALUE(MID($A124,4,3) &amp; LEFT($A124,3) &amp; RIGHT($A124,4)), "")</f>
        <v/>
      </c>
      <c r="P124" s="49" t="str">
        <f>IFERROR(VLOOKUP($Q124,Selection!$F:$G,2,false))</f>
        <v/>
      </c>
      <c r="Q124" s="50" t="str">
        <f>IF(AND($X124="change",$H124="EUR"),IF(AND($Z124="Crédit",$N124=$N125),$Q125,IF(AND($Z124="Débit",$N124=$N123),$Q123)),IF(OR(AND(OR($E124&lt;&gt;"",$L124=""),$M124&lt;&gt;0),$A124=""),IFERROR(VLOOKUP($E124,Selection!$E:$F,2,false)),IFERROR(VLOOKUP(SUBSTITUTE($I124,"-","",1),$K125:$Q1119,7,false),VLOOKUP($K124,$K125:$Q1119,7,false))))</f>
        <v/>
      </c>
      <c r="R124" s="49" t="str">
        <f t="shared" si="2"/>
        <v/>
      </c>
      <c r="S124" s="51" t="str">
        <f t="shared" si="3"/>
        <v/>
      </c>
      <c r="T124" s="52" t="str">
        <f t="shared" si="4"/>
        <v/>
      </c>
      <c r="U124" s="46" t="str">
        <f t="shared" si="5"/>
        <v/>
      </c>
      <c r="V124" s="53" t="str">
        <f>IFERROR(__xludf.DUMMYFUNCTION(" IF(Account!$F124&lt;&gt;"""", SPLIT(Account!$F124, "" ""), """")"),"")</f>
        <v/>
      </c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</row>
    <row r="125">
      <c r="A125" s="11"/>
      <c r="B125" s="11"/>
      <c r="C125" s="11"/>
      <c r="D125" s="11"/>
      <c r="E125" s="11"/>
      <c r="F125" s="12"/>
      <c r="G125" s="11"/>
      <c r="H125" s="11"/>
      <c r="I125" s="11"/>
      <c r="J125" s="11"/>
      <c r="K125" s="11"/>
      <c r="L125" s="45" t="str">
        <f t="shared" si="1"/>
        <v/>
      </c>
      <c r="M125" s="46" t="str">
        <f>IFERROR(__xludf.DUMMYFUNCTION("IF(Account!$F125&lt;&gt;"""", VALUE(REGEXREPLACE($I125, ""\,"", ""."")), """")"),"")</f>
        <v/>
      </c>
      <c r="N125" s="47" t="str">
        <f>IF(Account!$F125&lt;&gt;"", DATEVALUE(MID($A125,4,3) &amp; LEFT($A125,3) &amp; RIGHT($A125,4)) + TIMEVALUE($B125), "")</f>
        <v/>
      </c>
      <c r="O125" s="48" t="str">
        <f>IF(Account!$F125&lt;&gt;"", DATEVALUE(MID($A125,4,3) &amp; LEFT($A125,3) &amp; RIGHT($A125,4)), "")</f>
        <v/>
      </c>
      <c r="P125" s="49" t="str">
        <f>IFERROR(VLOOKUP($Q125,Selection!$F:$G,2,false))</f>
        <v/>
      </c>
      <c r="Q125" s="50" t="str">
        <f>IF(AND($X125="change",$H125="EUR"),IF(AND($Z125="Crédit",$N125=$N126),$Q126,IF(AND($Z125="Débit",$N125=$N124),$Q124)),IF(OR(AND(OR($E125&lt;&gt;"",$L125=""),$M125&lt;&gt;0),$A125=""),IFERROR(VLOOKUP($E125,Selection!$E:$F,2,false)),IFERROR(VLOOKUP(SUBSTITUTE($I125,"-","",1),$K126:$Q1119,7,false),VLOOKUP($K125,$K126:$Q1119,7,false))))</f>
        <v/>
      </c>
      <c r="R125" s="49" t="str">
        <f t="shared" si="2"/>
        <v/>
      </c>
      <c r="S125" s="51" t="str">
        <f t="shared" si="3"/>
        <v/>
      </c>
      <c r="T125" s="52" t="str">
        <f t="shared" si="4"/>
        <v/>
      </c>
      <c r="U125" s="46" t="str">
        <f t="shared" si="5"/>
        <v/>
      </c>
      <c r="V125" s="53" t="str">
        <f>IFERROR(__xludf.DUMMYFUNCTION(" IF(Account!$F125&lt;&gt;"""", SPLIT(Account!$F125, "" ""), """")"),"")</f>
        <v/>
      </c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</row>
    <row r="126">
      <c r="A126" s="11"/>
      <c r="B126" s="11"/>
      <c r="C126" s="11"/>
      <c r="D126" s="11"/>
      <c r="E126" s="11"/>
      <c r="F126" s="12"/>
      <c r="G126" s="11"/>
      <c r="H126" s="11"/>
      <c r="I126" s="11"/>
      <c r="J126" s="11"/>
      <c r="K126" s="11"/>
      <c r="L126" s="45" t="str">
        <f t="shared" si="1"/>
        <v/>
      </c>
      <c r="M126" s="46" t="str">
        <f>IFERROR(__xludf.DUMMYFUNCTION("IF(Account!$F126&lt;&gt;"""", VALUE(REGEXREPLACE($I126, ""\,"", ""."")), """")"),"")</f>
        <v/>
      </c>
      <c r="N126" s="47" t="str">
        <f>IF(Account!$F126&lt;&gt;"", DATEVALUE(MID($A126,4,3) &amp; LEFT($A126,3) &amp; RIGHT($A126,4)) + TIMEVALUE($B126), "")</f>
        <v/>
      </c>
      <c r="O126" s="48" t="str">
        <f>IF(Account!$F126&lt;&gt;"", DATEVALUE(MID($A126,4,3) &amp; LEFT($A126,3) &amp; RIGHT($A126,4)), "")</f>
        <v/>
      </c>
      <c r="P126" s="49" t="str">
        <f>IFERROR(VLOOKUP($Q126,Selection!$F:$G,2,false))</f>
        <v/>
      </c>
      <c r="Q126" s="50" t="str">
        <f>IF(AND($X126="change",$H126="EUR"),IF(AND($Z126="Crédit",$N126=$N127),$Q127,IF(AND($Z126="Débit",$N126=$N125),$Q125)),IF(OR(AND(OR($E126&lt;&gt;"",$L126=""),$M126&lt;&gt;0),$A126=""),IFERROR(VLOOKUP($E126,Selection!$E:$F,2,false)),IFERROR(VLOOKUP(SUBSTITUTE($I126,"-","",1),$K127:$Q1119,7,false),VLOOKUP($K126,$K127:$Q1119,7,false))))</f>
        <v/>
      </c>
      <c r="R126" s="49" t="str">
        <f t="shared" si="2"/>
        <v/>
      </c>
      <c r="S126" s="51" t="str">
        <f t="shared" si="3"/>
        <v/>
      </c>
      <c r="T126" s="52" t="str">
        <f t="shared" si="4"/>
        <v/>
      </c>
      <c r="U126" s="46" t="str">
        <f t="shared" si="5"/>
        <v/>
      </c>
      <c r="V126" s="53" t="str">
        <f>IFERROR(__xludf.DUMMYFUNCTION(" IF(Account!$F126&lt;&gt;"""", SPLIT(Account!$F126, "" ""), """")"),"")</f>
        <v/>
      </c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</row>
    <row r="127">
      <c r="A127" s="11"/>
      <c r="B127" s="11"/>
      <c r="C127" s="11"/>
      <c r="D127" s="11"/>
      <c r="E127" s="11"/>
      <c r="F127" s="12"/>
      <c r="G127" s="11"/>
      <c r="H127" s="11"/>
      <c r="I127" s="11"/>
      <c r="J127" s="11"/>
      <c r="K127" s="11"/>
      <c r="L127" s="45" t="str">
        <f t="shared" si="1"/>
        <v/>
      </c>
      <c r="M127" s="46" t="str">
        <f>IFERROR(__xludf.DUMMYFUNCTION("IF(Account!$F127&lt;&gt;"""", VALUE(REGEXREPLACE($I127, ""\,"", ""."")), """")"),"")</f>
        <v/>
      </c>
      <c r="N127" s="47" t="str">
        <f>IF(Account!$F127&lt;&gt;"", DATEVALUE(MID($A127,4,3) &amp; LEFT($A127,3) &amp; RIGHT($A127,4)) + TIMEVALUE($B127), "")</f>
        <v/>
      </c>
      <c r="O127" s="48" t="str">
        <f>IF(Account!$F127&lt;&gt;"", DATEVALUE(MID($A127,4,3) &amp; LEFT($A127,3) &amp; RIGHT($A127,4)), "")</f>
        <v/>
      </c>
      <c r="P127" s="49" t="str">
        <f>IFERROR(VLOOKUP($Q127,Selection!$F:$G,2,false))</f>
        <v/>
      </c>
      <c r="Q127" s="50" t="str">
        <f>IF(AND($X127="change",$H127="EUR"),IF(AND($Z127="Crédit",$N127=$N128),$Q128,IF(AND($Z127="Débit",$N127=$N126),$Q126)),IF(OR(AND(OR($E127&lt;&gt;"",$L127=""),$M127&lt;&gt;0),$A127=""),IFERROR(VLOOKUP($E127,Selection!$E:$F,2,false)),IFERROR(VLOOKUP(SUBSTITUTE($I127,"-","",1),$K128:$Q1119,7,false),VLOOKUP($K127,$K128:$Q1119,7,false))))</f>
        <v/>
      </c>
      <c r="R127" s="49" t="str">
        <f t="shared" si="2"/>
        <v/>
      </c>
      <c r="S127" s="51" t="str">
        <f t="shared" si="3"/>
        <v/>
      </c>
      <c r="T127" s="52" t="str">
        <f t="shared" si="4"/>
        <v/>
      </c>
      <c r="U127" s="46" t="str">
        <f t="shared" si="5"/>
        <v/>
      </c>
      <c r="V127" s="53" t="str">
        <f>IFERROR(__xludf.DUMMYFUNCTION(" IF(Account!$F127&lt;&gt;"""", SPLIT(Account!$F127, "" ""), """")"),"")</f>
        <v/>
      </c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</row>
    <row r="128">
      <c r="A128" s="11"/>
      <c r="B128" s="11"/>
      <c r="C128" s="11"/>
      <c r="D128" s="11"/>
      <c r="E128" s="11"/>
      <c r="F128" s="12"/>
      <c r="G128" s="11"/>
      <c r="H128" s="11"/>
      <c r="I128" s="11"/>
      <c r="J128" s="11"/>
      <c r="K128" s="11"/>
      <c r="L128" s="45" t="str">
        <f t="shared" si="1"/>
        <v/>
      </c>
      <c r="M128" s="46" t="str">
        <f>IFERROR(__xludf.DUMMYFUNCTION("IF(Account!$F128&lt;&gt;"""", VALUE(REGEXREPLACE($I128, ""\,"", ""."")), """")"),"")</f>
        <v/>
      </c>
      <c r="N128" s="47" t="str">
        <f>IF(Account!$F128&lt;&gt;"", DATEVALUE(MID($A128,4,3) &amp; LEFT($A128,3) &amp; RIGHT($A128,4)) + TIMEVALUE($B128), "")</f>
        <v/>
      </c>
      <c r="O128" s="48" t="str">
        <f>IF(Account!$F128&lt;&gt;"", DATEVALUE(MID($A128,4,3) &amp; LEFT($A128,3) &amp; RIGHT($A128,4)), "")</f>
        <v/>
      </c>
      <c r="P128" s="49" t="str">
        <f>IFERROR(VLOOKUP($Q128,Selection!$F:$G,2,false))</f>
        <v/>
      </c>
      <c r="Q128" s="50" t="str">
        <f>IF(AND($X128="change",$H128="EUR"),IF(AND($Z128="Crédit",$N128=$N129),$Q129,IF(AND($Z128="Débit",$N128=$N127),$Q127)),IF(OR(AND(OR($E128&lt;&gt;"",$L128=""),$M128&lt;&gt;0),$A128=""),IFERROR(VLOOKUP($E128,Selection!$E:$F,2,false)),IFERROR(VLOOKUP(SUBSTITUTE($I128,"-","",1),$K129:$Q1119,7,false),VLOOKUP($K128,$K129:$Q1119,7,false))))</f>
        <v/>
      </c>
      <c r="R128" s="49" t="str">
        <f t="shared" si="2"/>
        <v/>
      </c>
      <c r="S128" s="51" t="str">
        <f t="shared" si="3"/>
        <v/>
      </c>
      <c r="T128" s="52" t="str">
        <f t="shared" si="4"/>
        <v/>
      </c>
      <c r="U128" s="46" t="str">
        <f t="shared" si="5"/>
        <v/>
      </c>
      <c r="V128" s="53" t="str">
        <f>IFERROR(__xludf.DUMMYFUNCTION(" IF(Account!$F128&lt;&gt;"""", SPLIT(Account!$F128, "" ""), """")"),"")</f>
        <v/>
      </c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</row>
    <row r="129">
      <c r="A129" s="11"/>
      <c r="B129" s="11"/>
      <c r="C129" s="11"/>
      <c r="D129" s="11"/>
      <c r="E129" s="11"/>
      <c r="F129" s="12"/>
      <c r="G129" s="11"/>
      <c r="H129" s="11"/>
      <c r="I129" s="11"/>
      <c r="J129" s="11"/>
      <c r="K129" s="11"/>
      <c r="L129" s="45" t="str">
        <f t="shared" si="1"/>
        <v/>
      </c>
      <c r="M129" s="46" t="str">
        <f>IFERROR(__xludf.DUMMYFUNCTION("IF(Account!$F129&lt;&gt;"""", VALUE(REGEXREPLACE($I129, ""\,"", ""."")), """")"),"")</f>
        <v/>
      </c>
      <c r="N129" s="47" t="str">
        <f>IF(Account!$F129&lt;&gt;"", DATEVALUE(MID($A129,4,3) &amp; LEFT($A129,3) &amp; RIGHT($A129,4)) + TIMEVALUE($B129), "")</f>
        <v/>
      </c>
      <c r="O129" s="48" t="str">
        <f>IF(Account!$F129&lt;&gt;"", DATEVALUE(MID($A129,4,3) &amp; LEFT($A129,3) &amp; RIGHT($A129,4)), "")</f>
        <v/>
      </c>
      <c r="P129" s="49" t="str">
        <f>IFERROR(VLOOKUP($Q129,Selection!$F:$G,2,false))</f>
        <v/>
      </c>
      <c r="Q129" s="50" t="str">
        <f>IF(AND($X129="change",$H129="EUR"),IF(AND($Z129="Crédit",$N129=$N130),$Q130,IF(AND($Z129="Débit",$N129=$N128),$Q128)),IF(OR(AND(OR($E129&lt;&gt;"",$L129=""),$M129&lt;&gt;0),$A129=""),IFERROR(VLOOKUP($E129,Selection!$E:$F,2,false)),IFERROR(VLOOKUP(SUBSTITUTE($I129,"-","",1),$K130:$Q1119,7,false),VLOOKUP($K129,$K130:$Q1119,7,false))))</f>
        <v/>
      </c>
      <c r="R129" s="49" t="str">
        <f t="shared" si="2"/>
        <v/>
      </c>
      <c r="S129" s="51" t="str">
        <f t="shared" si="3"/>
        <v/>
      </c>
      <c r="T129" s="52" t="str">
        <f t="shared" si="4"/>
        <v/>
      </c>
      <c r="U129" s="46" t="str">
        <f t="shared" si="5"/>
        <v/>
      </c>
      <c r="V129" s="53" t="str">
        <f>IFERROR(__xludf.DUMMYFUNCTION(" IF(Account!$F129&lt;&gt;"""", SPLIT(Account!$F129, "" ""), """")"),"")</f>
        <v/>
      </c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</row>
    <row r="130">
      <c r="A130" s="11"/>
      <c r="B130" s="11"/>
      <c r="C130" s="11"/>
      <c r="D130" s="11"/>
      <c r="E130" s="11"/>
      <c r="F130" s="12"/>
      <c r="G130" s="11"/>
      <c r="H130" s="11"/>
      <c r="I130" s="11"/>
      <c r="J130" s="11"/>
      <c r="K130" s="11"/>
      <c r="L130" s="45" t="str">
        <f t="shared" si="1"/>
        <v/>
      </c>
      <c r="M130" s="46" t="str">
        <f>IFERROR(__xludf.DUMMYFUNCTION("IF(Account!$F130&lt;&gt;"""", VALUE(REGEXREPLACE($I130, ""\,"", ""."")), """")"),"")</f>
        <v/>
      </c>
      <c r="N130" s="47" t="str">
        <f>IF(Account!$F130&lt;&gt;"", DATEVALUE(MID($A130,4,3) &amp; LEFT($A130,3) &amp; RIGHT($A130,4)) + TIMEVALUE($B130), "")</f>
        <v/>
      </c>
      <c r="O130" s="48" t="str">
        <f>IF(Account!$F130&lt;&gt;"", DATEVALUE(MID($A130,4,3) &amp; LEFT($A130,3) &amp; RIGHT($A130,4)), "")</f>
        <v/>
      </c>
      <c r="P130" s="49" t="str">
        <f>IFERROR(VLOOKUP($Q130,Selection!$F:$G,2,false))</f>
        <v/>
      </c>
      <c r="Q130" s="50" t="str">
        <f>IF(AND($X130="change",$H130="EUR"),IF(AND($Z130="Crédit",$N130=$N131),$Q131,IF(AND($Z130="Débit",$N130=$N129),$Q129)),IF(OR(AND(OR($E130&lt;&gt;"",$L130=""),$M130&lt;&gt;0),$A130=""),IFERROR(VLOOKUP($E130,Selection!$E:$F,2,false)),IFERROR(VLOOKUP(SUBSTITUTE($I130,"-","",1),$K131:$Q1119,7,false),VLOOKUP($K130,$K131:$Q1119,7,false))))</f>
        <v/>
      </c>
      <c r="R130" s="49" t="str">
        <f t="shared" si="2"/>
        <v/>
      </c>
      <c r="S130" s="51" t="str">
        <f t="shared" si="3"/>
        <v/>
      </c>
      <c r="T130" s="52" t="str">
        <f t="shared" si="4"/>
        <v/>
      </c>
      <c r="U130" s="46" t="str">
        <f t="shared" si="5"/>
        <v/>
      </c>
      <c r="V130" s="53" t="str">
        <f>IFERROR(__xludf.DUMMYFUNCTION(" IF(Account!$F130&lt;&gt;"""", SPLIT(Account!$F130, "" ""), """")"),"")</f>
        <v/>
      </c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</row>
    <row r="131">
      <c r="A131" s="11"/>
      <c r="B131" s="11"/>
      <c r="C131" s="11"/>
      <c r="D131" s="11"/>
      <c r="E131" s="11"/>
      <c r="F131" s="12"/>
      <c r="G131" s="11"/>
      <c r="H131" s="11"/>
      <c r="I131" s="11"/>
      <c r="J131" s="11"/>
      <c r="K131" s="11"/>
      <c r="L131" s="45" t="str">
        <f t="shared" si="1"/>
        <v/>
      </c>
      <c r="M131" s="46" t="str">
        <f>IFERROR(__xludf.DUMMYFUNCTION("IF(Account!$F131&lt;&gt;"""", VALUE(REGEXREPLACE($I131, ""\,"", ""."")), """")"),"")</f>
        <v/>
      </c>
      <c r="N131" s="47" t="str">
        <f>IF(Account!$F131&lt;&gt;"", DATEVALUE(MID($A131,4,3) &amp; LEFT($A131,3) &amp; RIGHT($A131,4)) + TIMEVALUE($B131), "")</f>
        <v/>
      </c>
      <c r="O131" s="48" t="str">
        <f>IF(Account!$F131&lt;&gt;"", DATEVALUE(MID($A131,4,3) &amp; LEFT($A131,3) &amp; RIGHT($A131,4)), "")</f>
        <v/>
      </c>
      <c r="P131" s="49" t="str">
        <f>IFERROR(VLOOKUP($Q131,Selection!$F:$G,2,false))</f>
        <v/>
      </c>
      <c r="Q131" s="50" t="str">
        <f>IF(AND($X131="change",$H131="EUR"),IF(AND($Z131="Crédit",$N131=$N132),$Q132,IF(AND($Z131="Débit",$N131=$N130),$Q130)),IF(OR(AND(OR($E131&lt;&gt;"",$L131=""),$M131&lt;&gt;0),$A131=""),IFERROR(VLOOKUP($E131,Selection!$E:$F,2,false)),IFERROR(VLOOKUP(SUBSTITUTE($I131,"-","",1),$K132:$Q1119,7,false),VLOOKUP($K131,$K132:$Q1119,7,false))))</f>
        <v/>
      </c>
      <c r="R131" s="49" t="str">
        <f t="shared" si="2"/>
        <v/>
      </c>
      <c r="S131" s="51" t="str">
        <f t="shared" si="3"/>
        <v/>
      </c>
      <c r="T131" s="52" t="str">
        <f t="shared" si="4"/>
        <v/>
      </c>
      <c r="U131" s="46" t="str">
        <f t="shared" si="5"/>
        <v/>
      </c>
      <c r="V131" s="53" t="str">
        <f>IFERROR(__xludf.DUMMYFUNCTION(" IF(Account!$F131&lt;&gt;"""", SPLIT(Account!$F131, "" ""), """")"),"")</f>
        <v/>
      </c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</row>
    <row r="132">
      <c r="A132" s="11"/>
      <c r="B132" s="11"/>
      <c r="C132" s="11"/>
      <c r="D132" s="11"/>
      <c r="E132" s="11"/>
      <c r="F132" s="12"/>
      <c r="G132" s="11"/>
      <c r="H132" s="11"/>
      <c r="I132" s="11"/>
      <c r="J132" s="11"/>
      <c r="K132" s="11"/>
      <c r="L132" s="45" t="str">
        <f t="shared" si="1"/>
        <v/>
      </c>
      <c r="M132" s="46" t="str">
        <f>IFERROR(__xludf.DUMMYFUNCTION("IF(Account!$F132&lt;&gt;"""", VALUE(REGEXREPLACE($I132, ""\,"", ""."")), """")"),"")</f>
        <v/>
      </c>
      <c r="N132" s="47" t="str">
        <f>IF(Account!$F132&lt;&gt;"", DATEVALUE(MID($A132,4,3) &amp; LEFT($A132,3) &amp; RIGHT($A132,4)) + TIMEVALUE($B132), "")</f>
        <v/>
      </c>
      <c r="O132" s="48" t="str">
        <f>IF(Account!$F132&lt;&gt;"", DATEVALUE(MID($A132,4,3) &amp; LEFT($A132,3) &amp; RIGHT($A132,4)), "")</f>
        <v/>
      </c>
      <c r="P132" s="49" t="str">
        <f>IFERROR(VLOOKUP($Q132,Selection!$F:$G,2,false))</f>
        <v/>
      </c>
      <c r="Q132" s="50" t="str">
        <f>IF(AND($X132="change",$H132="EUR"),IF(AND($Z132="Crédit",$N132=$N133),$Q133,IF(AND($Z132="Débit",$N132=$N131),$Q131)),IF(OR(AND(OR($E132&lt;&gt;"",$L132=""),$M132&lt;&gt;0),$A132=""),IFERROR(VLOOKUP($E132,Selection!$E:$F,2,false)),IFERROR(VLOOKUP(SUBSTITUTE($I132,"-","",1),$K133:$Q1119,7,false),VLOOKUP($K132,$K133:$Q1119,7,false))))</f>
        <v/>
      </c>
      <c r="R132" s="49" t="str">
        <f t="shared" si="2"/>
        <v/>
      </c>
      <c r="S132" s="51" t="str">
        <f t="shared" si="3"/>
        <v/>
      </c>
      <c r="T132" s="52" t="str">
        <f t="shared" si="4"/>
        <v/>
      </c>
      <c r="U132" s="46" t="str">
        <f t="shared" si="5"/>
        <v/>
      </c>
      <c r="V132" s="53" t="str">
        <f>IFERROR(__xludf.DUMMYFUNCTION(" IF(Account!$F132&lt;&gt;"""", SPLIT(Account!$F132, "" ""), """")"),"")</f>
        <v/>
      </c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</row>
    <row r="133">
      <c r="A133" s="11"/>
      <c r="B133" s="11"/>
      <c r="C133" s="11"/>
      <c r="D133" s="11"/>
      <c r="E133" s="11"/>
      <c r="F133" s="12"/>
      <c r="G133" s="11"/>
      <c r="H133" s="11"/>
      <c r="I133" s="11"/>
      <c r="J133" s="11"/>
      <c r="K133" s="11"/>
      <c r="L133" s="45" t="str">
        <f t="shared" si="1"/>
        <v/>
      </c>
      <c r="M133" s="46" t="str">
        <f>IFERROR(__xludf.DUMMYFUNCTION("IF(Account!$F133&lt;&gt;"""", VALUE(REGEXREPLACE($I133, ""\,"", ""."")), """")"),"")</f>
        <v/>
      </c>
      <c r="N133" s="47" t="str">
        <f>IF(Account!$F133&lt;&gt;"", DATEVALUE(MID($A133,4,3) &amp; LEFT($A133,3) &amp; RIGHT($A133,4)) + TIMEVALUE($B133), "")</f>
        <v/>
      </c>
      <c r="O133" s="48" t="str">
        <f>IF(Account!$F133&lt;&gt;"", DATEVALUE(MID($A133,4,3) &amp; LEFT($A133,3) &amp; RIGHT($A133,4)), "")</f>
        <v/>
      </c>
      <c r="P133" s="49" t="str">
        <f>IFERROR(VLOOKUP($Q133,Selection!$F:$G,2,false))</f>
        <v/>
      </c>
      <c r="Q133" s="50" t="str">
        <f>IF(AND($X133="change",$H133="EUR"),IF(AND($Z133="Crédit",$N133=$N134),$Q134,IF(AND($Z133="Débit",$N133=$N132),$Q132)),IF(OR(AND(OR($E133&lt;&gt;"",$L133=""),$M133&lt;&gt;0),$A133=""),IFERROR(VLOOKUP($E133,Selection!$E:$F,2,false)),IFERROR(VLOOKUP(SUBSTITUTE($I133,"-","",1),$K134:$Q1119,7,false),VLOOKUP($K133,$K134:$Q1119,7,false))))</f>
        <v/>
      </c>
      <c r="R133" s="49" t="str">
        <f t="shared" si="2"/>
        <v/>
      </c>
      <c r="S133" s="51" t="str">
        <f t="shared" si="3"/>
        <v/>
      </c>
      <c r="T133" s="52" t="str">
        <f t="shared" si="4"/>
        <v/>
      </c>
      <c r="U133" s="46" t="str">
        <f t="shared" si="5"/>
        <v/>
      </c>
      <c r="V133" s="53" t="str">
        <f>IFERROR(__xludf.DUMMYFUNCTION(" IF(Account!$F133&lt;&gt;"""", SPLIT(Account!$F133, "" ""), """")"),"")</f>
        <v/>
      </c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</row>
    <row r="134">
      <c r="A134" s="11"/>
      <c r="B134" s="11"/>
      <c r="C134" s="11"/>
      <c r="D134" s="11"/>
      <c r="E134" s="11"/>
      <c r="F134" s="12"/>
      <c r="G134" s="11"/>
      <c r="H134" s="11"/>
      <c r="I134" s="11"/>
      <c r="J134" s="11"/>
      <c r="K134" s="11"/>
      <c r="L134" s="45" t="str">
        <f t="shared" si="1"/>
        <v/>
      </c>
      <c r="M134" s="46" t="str">
        <f>IFERROR(__xludf.DUMMYFUNCTION("IF(Account!$F134&lt;&gt;"""", VALUE(REGEXREPLACE($I134, ""\,"", ""."")), """")"),"")</f>
        <v/>
      </c>
      <c r="N134" s="47" t="str">
        <f>IF(Account!$F134&lt;&gt;"", DATEVALUE(MID($A134,4,3) &amp; LEFT($A134,3) &amp; RIGHT($A134,4)) + TIMEVALUE($B134), "")</f>
        <v/>
      </c>
      <c r="O134" s="48" t="str">
        <f>IF(Account!$F134&lt;&gt;"", DATEVALUE(MID($A134,4,3) &amp; LEFT($A134,3) &amp; RIGHT($A134,4)), "")</f>
        <v/>
      </c>
      <c r="P134" s="49" t="str">
        <f>IFERROR(VLOOKUP($Q134,Selection!$F:$G,2,false))</f>
        <v/>
      </c>
      <c r="Q134" s="50" t="str">
        <f>IF(AND($X134="change",$H134="EUR"),IF(AND($Z134="Crédit",$N134=$N135),$Q135,IF(AND($Z134="Débit",$N134=$N133),$Q133)),IF(OR(AND(OR($E134&lt;&gt;"",$L134=""),$M134&lt;&gt;0),$A134=""),IFERROR(VLOOKUP($E134,Selection!$E:$F,2,false)),IFERROR(VLOOKUP(SUBSTITUTE($I134,"-","",1),$K135:$Q1119,7,false),VLOOKUP($K134,$K135:$Q1119,7,false))))</f>
        <v/>
      </c>
      <c r="R134" s="49" t="str">
        <f t="shared" si="2"/>
        <v/>
      </c>
      <c r="S134" s="51" t="str">
        <f t="shared" si="3"/>
        <v/>
      </c>
      <c r="T134" s="52" t="str">
        <f t="shared" si="4"/>
        <v/>
      </c>
      <c r="U134" s="46" t="str">
        <f t="shared" si="5"/>
        <v/>
      </c>
      <c r="V134" s="53" t="str">
        <f>IFERROR(__xludf.DUMMYFUNCTION(" IF(Account!$F134&lt;&gt;"""", SPLIT(Account!$F134, "" ""), """")"),"")</f>
        <v/>
      </c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</row>
    <row r="135">
      <c r="A135" s="11"/>
      <c r="B135" s="11"/>
      <c r="C135" s="11"/>
      <c r="D135" s="11"/>
      <c r="E135" s="11"/>
      <c r="F135" s="12"/>
      <c r="G135" s="11"/>
      <c r="H135" s="11"/>
      <c r="I135" s="11"/>
      <c r="J135" s="11"/>
      <c r="K135" s="11"/>
      <c r="L135" s="45" t="str">
        <f t="shared" si="1"/>
        <v/>
      </c>
      <c r="M135" s="46" t="str">
        <f>IFERROR(__xludf.DUMMYFUNCTION("IF(Account!$F135&lt;&gt;"""", VALUE(REGEXREPLACE($I135, ""\,"", ""."")), """")"),"")</f>
        <v/>
      </c>
      <c r="N135" s="47" t="str">
        <f>IF(Account!$F135&lt;&gt;"", DATEVALUE(MID($A135,4,3) &amp; LEFT($A135,3) &amp; RIGHT($A135,4)) + TIMEVALUE($B135), "")</f>
        <v/>
      </c>
      <c r="O135" s="48" t="str">
        <f>IF(Account!$F135&lt;&gt;"", DATEVALUE(MID($A135,4,3) &amp; LEFT($A135,3) &amp; RIGHT($A135,4)), "")</f>
        <v/>
      </c>
      <c r="P135" s="49" t="str">
        <f>IFERROR(VLOOKUP($Q135,Selection!$F:$G,2,false))</f>
        <v/>
      </c>
      <c r="Q135" s="50" t="str">
        <f>IF(AND($X135="change",$H135="EUR"),IF(AND($Z135="Crédit",$N135=$N136),$Q136,IF(AND($Z135="Débit",$N135=$N134),$Q134)),IF(OR(AND(OR($E135&lt;&gt;"",$L135=""),$M135&lt;&gt;0),$A135=""),IFERROR(VLOOKUP($E135,Selection!$E:$F,2,false)),IFERROR(VLOOKUP(SUBSTITUTE($I135,"-","",1),$K136:$Q1119,7,false),VLOOKUP($K135,$K136:$Q1119,7,false))))</f>
        <v/>
      </c>
      <c r="R135" s="49" t="str">
        <f t="shared" si="2"/>
        <v/>
      </c>
      <c r="S135" s="51" t="str">
        <f t="shared" si="3"/>
        <v/>
      </c>
      <c r="T135" s="52" t="str">
        <f t="shared" si="4"/>
        <v/>
      </c>
      <c r="U135" s="46" t="str">
        <f t="shared" si="5"/>
        <v/>
      </c>
      <c r="V135" s="53" t="str">
        <f>IFERROR(__xludf.DUMMYFUNCTION(" IF(Account!$F135&lt;&gt;"""", SPLIT(Account!$F135, "" ""), """")"),"")</f>
        <v/>
      </c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</row>
    <row r="136">
      <c r="A136" s="11"/>
      <c r="B136" s="11"/>
      <c r="C136" s="11"/>
      <c r="D136" s="11"/>
      <c r="E136" s="11"/>
      <c r="F136" s="12"/>
      <c r="G136" s="11"/>
      <c r="H136" s="11"/>
      <c r="I136" s="11"/>
      <c r="J136" s="11"/>
      <c r="K136" s="11"/>
      <c r="L136" s="45" t="str">
        <f t="shared" si="1"/>
        <v/>
      </c>
      <c r="M136" s="46" t="str">
        <f>IFERROR(__xludf.DUMMYFUNCTION("IF(Account!$F136&lt;&gt;"""", VALUE(REGEXREPLACE($I136, ""\,"", ""."")), """")"),"")</f>
        <v/>
      </c>
      <c r="N136" s="47" t="str">
        <f>IF(Account!$F136&lt;&gt;"", DATEVALUE(MID($A136,4,3) &amp; LEFT($A136,3) &amp; RIGHT($A136,4)) + TIMEVALUE($B136), "")</f>
        <v/>
      </c>
      <c r="O136" s="48" t="str">
        <f>IF(Account!$F136&lt;&gt;"", DATEVALUE(MID($A136,4,3) &amp; LEFT($A136,3) &amp; RIGHT($A136,4)), "")</f>
        <v/>
      </c>
      <c r="P136" s="49" t="str">
        <f>IFERROR(VLOOKUP($Q136,Selection!$F:$G,2,false))</f>
        <v/>
      </c>
      <c r="Q136" s="50" t="str">
        <f>IF(AND($X136="change",$H136="EUR"),IF(AND($Z136="Crédit",$N136=$N137),$Q137,IF(AND($Z136="Débit",$N136=$N135),$Q135)),IF(OR(AND(OR($E136&lt;&gt;"",$L136=""),$M136&lt;&gt;0),$A136=""),IFERROR(VLOOKUP($E136,Selection!$E:$F,2,false)),IFERROR(VLOOKUP(SUBSTITUTE($I136,"-","",1),$K137:$Q1119,7,false),VLOOKUP($K136,$K137:$Q1119,7,false))))</f>
        <v/>
      </c>
      <c r="R136" s="49" t="str">
        <f t="shared" si="2"/>
        <v/>
      </c>
      <c r="S136" s="51" t="str">
        <f t="shared" si="3"/>
        <v/>
      </c>
      <c r="T136" s="52" t="str">
        <f t="shared" si="4"/>
        <v/>
      </c>
      <c r="U136" s="46" t="str">
        <f t="shared" si="5"/>
        <v/>
      </c>
      <c r="V136" s="53" t="str">
        <f>IFERROR(__xludf.DUMMYFUNCTION(" IF(Account!$F136&lt;&gt;"""", SPLIT(Account!$F136, "" ""), """")"),"")</f>
        <v/>
      </c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</row>
    <row r="137">
      <c r="A137" s="11"/>
      <c r="B137" s="11"/>
      <c r="C137" s="11"/>
      <c r="D137" s="11"/>
      <c r="E137" s="11"/>
      <c r="F137" s="12"/>
      <c r="G137" s="11"/>
      <c r="H137" s="11"/>
      <c r="I137" s="11"/>
      <c r="J137" s="11"/>
      <c r="K137" s="11"/>
      <c r="L137" s="45" t="str">
        <f t="shared" si="1"/>
        <v/>
      </c>
      <c r="M137" s="46" t="str">
        <f>IFERROR(__xludf.DUMMYFUNCTION("IF(Account!$F137&lt;&gt;"""", VALUE(REGEXREPLACE($I137, ""\,"", ""."")), """")"),"")</f>
        <v/>
      </c>
      <c r="N137" s="47" t="str">
        <f>IF(Account!$F137&lt;&gt;"", DATEVALUE(MID($A137,4,3) &amp; LEFT($A137,3) &amp; RIGHT($A137,4)) + TIMEVALUE($B137), "")</f>
        <v/>
      </c>
      <c r="O137" s="48" t="str">
        <f>IF(Account!$F137&lt;&gt;"", DATEVALUE(MID($A137,4,3) &amp; LEFT($A137,3) &amp; RIGHT($A137,4)), "")</f>
        <v/>
      </c>
      <c r="P137" s="49" t="str">
        <f>IFERROR(VLOOKUP($Q137,Selection!$F:$G,2,false))</f>
        <v/>
      </c>
      <c r="Q137" s="50" t="str">
        <f>IF(AND($X137="change",$H137="EUR"),IF(AND($Z137="Crédit",$N137=$N138),$Q138,IF(AND($Z137="Débit",$N137=$N136),$Q136)),IF(OR(AND(OR($E137&lt;&gt;"",$L137=""),$M137&lt;&gt;0),$A137=""),IFERROR(VLOOKUP($E137,Selection!$E:$F,2,false)),IFERROR(VLOOKUP(SUBSTITUTE($I137,"-","",1),$K138:$Q1119,7,false),VLOOKUP($K137,$K138:$Q1119,7,false))))</f>
        <v/>
      </c>
      <c r="R137" s="49" t="str">
        <f t="shared" si="2"/>
        <v/>
      </c>
      <c r="S137" s="51" t="str">
        <f t="shared" si="3"/>
        <v/>
      </c>
      <c r="T137" s="52" t="str">
        <f t="shared" si="4"/>
        <v/>
      </c>
      <c r="U137" s="46" t="str">
        <f t="shared" si="5"/>
        <v/>
      </c>
      <c r="V137" s="53" t="str">
        <f>IFERROR(__xludf.DUMMYFUNCTION(" IF(Account!$F137&lt;&gt;"""", SPLIT(Account!$F137, "" ""), """")"),"")</f>
        <v/>
      </c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</row>
    <row r="138">
      <c r="A138" s="11"/>
      <c r="B138" s="11"/>
      <c r="C138" s="11"/>
      <c r="D138" s="11"/>
      <c r="E138" s="11"/>
      <c r="F138" s="12"/>
      <c r="G138" s="11"/>
      <c r="H138" s="11"/>
      <c r="I138" s="11"/>
      <c r="J138" s="11"/>
      <c r="K138" s="11"/>
      <c r="L138" s="45" t="str">
        <f t="shared" si="1"/>
        <v/>
      </c>
      <c r="M138" s="46" t="str">
        <f>IFERROR(__xludf.DUMMYFUNCTION("IF(Account!$F138&lt;&gt;"""", VALUE(REGEXREPLACE($I138, ""\,"", ""."")), """")"),"")</f>
        <v/>
      </c>
      <c r="N138" s="47" t="str">
        <f>IF(Account!$F138&lt;&gt;"", DATEVALUE(MID($A138,4,3) &amp; LEFT($A138,3) &amp; RIGHT($A138,4)) + TIMEVALUE($B138), "")</f>
        <v/>
      </c>
      <c r="O138" s="48" t="str">
        <f>IF(Account!$F138&lt;&gt;"", DATEVALUE(MID($A138,4,3) &amp; LEFT($A138,3) &amp; RIGHT($A138,4)), "")</f>
        <v/>
      </c>
      <c r="P138" s="49" t="str">
        <f>IFERROR(VLOOKUP($Q138,Selection!$F:$G,2,false))</f>
        <v/>
      </c>
      <c r="Q138" s="50" t="str">
        <f>IF(AND($X138="change",$H138="EUR"),IF(AND($Z138="Crédit",$N138=$N139),$Q139,IF(AND($Z138="Débit",$N138=$N137),$Q137)),IF(OR(AND(OR($E138&lt;&gt;"",$L138=""),$M138&lt;&gt;0),$A138=""),IFERROR(VLOOKUP($E138,Selection!$E:$F,2,false)),IFERROR(VLOOKUP(SUBSTITUTE($I138,"-","",1),$K139:$Q1119,7,false),VLOOKUP($K138,$K139:$Q1119,7,false))))</f>
        <v/>
      </c>
      <c r="R138" s="49" t="str">
        <f t="shared" si="2"/>
        <v/>
      </c>
      <c r="S138" s="51" t="str">
        <f t="shared" si="3"/>
        <v/>
      </c>
      <c r="T138" s="52" t="str">
        <f t="shared" si="4"/>
        <v/>
      </c>
      <c r="U138" s="46" t="str">
        <f t="shared" si="5"/>
        <v/>
      </c>
      <c r="V138" s="53" t="str">
        <f>IFERROR(__xludf.DUMMYFUNCTION(" IF(Account!$F138&lt;&gt;"""", SPLIT(Account!$F138, "" ""), """")"),"")</f>
        <v/>
      </c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</row>
    <row r="139">
      <c r="A139" s="11"/>
      <c r="B139" s="11"/>
      <c r="C139" s="11"/>
      <c r="D139" s="11"/>
      <c r="E139" s="11"/>
      <c r="F139" s="12"/>
      <c r="G139" s="11"/>
      <c r="H139" s="11"/>
      <c r="I139" s="11"/>
      <c r="J139" s="11"/>
      <c r="K139" s="11"/>
      <c r="L139" s="45" t="str">
        <f t="shared" si="1"/>
        <v/>
      </c>
      <c r="M139" s="46" t="str">
        <f>IFERROR(__xludf.DUMMYFUNCTION("IF(Account!$F139&lt;&gt;"""", VALUE(REGEXREPLACE($I139, ""\,"", ""."")), """")"),"")</f>
        <v/>
      </c>
      <c r="N139" s="47" t="str">
        <f>IF(Account!$F139&lt;&gt;"", DATEVALUE(MID($A139,4,3) &amp; LEFT($A139,3) &amp; RIGHT($A139,4)) + TIMEVALUE($B139), "")</f>
        <v/>
      </c>
      <c r="O139" s="48" t="str">
        <f>IF(Account!$F139&lt;&gt;"", DATEVALUE(MID($A139,4,3) &amp; LEFT($A139,3) &amp; RIGHT($A139,4)), "")</f>
        <v/>
      </c>
      <c r="P139" s="49" t="str">
        <f>IFERROR(VLOOKUP($Q139,Selection!$F:$G,2,false))</f>
        <v/>
      </c>
      <c r="Q139" s="50" t="str">
        <f>IF(AND($X139="change",$H139="EUR"),IF(AND($Z139="Crédit",$N139=$N140),$Q140,IF(AND($Z139="Débit",$N139=$N138),$Q138)),IF(OR(AND(OR($E139&lt;&gt;"",$L139=""),$M139&lt;&gt;0),$A139=""),IFERROR(VLOOKUP($E139,Selection!$E:$F,2,false)),IFERROR(VLOOKUP(SUBSTITUTE($I139,"-","",1),$K140:$Q1119,7,false),VLOOKUP($K139,$K140:$Q1119,7,false))))</f>
        <v/>
      </c>
      <c r="R139" s="49" t="str">
        <f t="shared" si="2"/>
        <v/>
      </c>
      <c r="S139" s="51" t="str">
        <f t="shared" si="3"/>
        <v/>
      </c>
      <c r="T139" s="52" t="str">
        <f t="shared" si="4"/>
        <v/>
      </c>
      <c r="U139" s="46" t="str">
        <f t="shared" si="5"/>
        <v/>
      </c>
      <c r="V139" s="53" t="str">
        <f>IFERROR(__xludf.DUMMYFUNCTION(" IF(Account!$F139&lt;&gt;"""", SPLIT(Account!$F139, "" ""), """")"),"")</f>
        <v/>
      </c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</row>
    <row r="140">
      <c r="A140" s="11"/>
      <c r="B140" s="11"/>
      <c r="C140" s="11"/>
      <c r="D140" s="11"/>
      <c r="E140" s="11"/>
      <c r="F140" s="12"/>
      <c r="G140" s="11"/>
      <c r="H140" s="11"/>
      <c r="I140" s="11"/>
      <c r="J140" s="11"/>
      <c r="K140" s="11"/>
      <c r="L140" s="45" t="str">
        <f t="shared" si="1"/>
        <v/>
      </c>
      <c r="M140" s="46" t="str">
        <f>IFERROR(__xludf.DUMMYFUNCTION("IF(Account!$F140&lt;&gt;"""", VALUE(REGEXREPLACE($I140, ""\,"", ""."")), """")"),"")</f>
        <v/>
      </c>
      <c r="N140" s="47" t="str">
        <f>IF(Account!$F140&lt;&gt;"", DATEVALUE(MID($A140,4,3) &amp; LEFT($A140,3) &amp; RIGHT($A140,4)) + TIMEVALUE($B140), "")</f>
        <v/>
      </c>
      <c r="O140" s="48" t="str">
        <f>IF(Account!$F140&lt;&gt;"", DATEVALUE(MID($A140,4,3) &amp; LEFT($A140,3) &amp; RIGHT($A140,4)), "")</f>
        <v/>
      </c>
      <c r="P140" s="49" t="str">
        <f>IFERROR(VLOOKUP($Q140,Selection!$F:$G,2,false))</f>
        <v/>
      </c>
      <c r="Q140" s="50" t="str">
        <f>IF(AND($X140="change",$H140="EUR"),IF(AND($Z140="Crédit",$N140=$N141),$Q141,IF(AND($Z140="Débit",$N140=$N139),$Q139)),IF(OR(AND(OR($E140&lt;&gt;"",$L140=""),$M140&lt;&gt;0),$A140=""),IFERROR(VLOOKUP($E140,Selection!$E:$F,2,false)),IFERROR(VLOOKUP(SUBSTITUTE($I140,"-","",1),$K141:$Q1119,7,false),VLOOKUP($K140,$K141:$Q1119,7,false))))</f>
        <v/>
      </c>
      <c r="R140" s="49" t="str">
        <f t="shared" si="2"/>
        <v/>
      </c>
      <c r="S140" s="51" t="str">
        <f t="shared" si="3"/>
        <v/>
      </c>
      <c r="T140" s="52" t="str">
        <f t="shared" si="4"/>
        <v/>
      </c>
      <c r="U140" s="46" t="str">
        <f t="shared" si="5"/>
        <v/>
      </c>
      <c r="V140" s="53" t="str">
        <f>IFERROR(__xludf.DUMMYFUNCTION(" IF(Account!$F140&lt;&gt;"""", SPLIT(Account!$F140, "" ""), """")"),"")</f>
        <v/>
      </c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</row>
    <row r="141">
      <c r="A141" s="11"/>
      <c r="B141" s="11"/>
      <c r="C141" s="11"/>
      <c r="D141" s="11"/>
      <c r="E141" s="11"/>
      <c r="F141" s="12"/>
      <c r="G141" s="11"/>
      <c r="H141" s="11"/>
      <c r="I141" s="11"/>
      <c r="J141" s="11"/>
      <c r="K141" s="11"/>
      <c r="L141" s="45" t="str">
        <f t="shared" si="1"/>
        <v/>
      </c>
      <c r="M141" s="46" t="str">
        <f>IFERROR(__xludf.DUMMYFUNCTION("IF(Account!$F141&lt;&gt;"""", VALUE(REGEXREPLACE($I141, ""\,"", ""."")), """")"),"")</f>
        <v/>
      </c>
      <c r="N141" s="47" t="str">
        <f>IF(Account!$F141&lt;&gt;"", DATEVALUE(MID($A141,4,3) &amp; LEFT($A141,3) &amp; RIGHT($A141,4)) + TIMEVALUE($B141), "")</f>
        <v/>
      </c>
      <c r="O141" s="48" t="str">
        <f>IF(Account!$F141&lt;&gt;"", DATEVALUE(MID($A141,4,3) &amp; LEFT($A141,3) &amp; RIGHT($A141,4)), "")</f>
        <v/>
      </c>
      <c r="P141" s="49" t="str">
        <f>IFERROR(VLOOKUP($Q141,Selection!$F:$G,2,false))</f>
        <v/>
      </c>
      <c r="Q141" s="50" t="str">
        <f>IF(AND($X141="change",$H141="EUR"),IF(AND($Z141="Crédit",$N141=$N142),$Q142,IF(AND($Z141="Débit",$N141=$N140),$Q140)),IF(OR(AND(OR($E141&lt;&gt;"",$L141=""),$M141&lt;&gt;0),$A141=""),IFERROR(VLOOKUP($E141,Selection!$E:$F,2,false)),IFERROR(VLOOKUP(SUBSTITUTE($I141,"-","",1),$K142:$Q1119,7,false),VLOOKUP($K141,$K142:$Q1119,7,false))))</f>
        <v/>
      </c>
      <c r="R141" s="49" t="str">
        <f t="shared" si="2"/>
        <v/>
      </c>
      <c r="S141" s="51" t="str">
        <f t="shared" si="3"/>
        <v/>
      </c>
      <c r="T141" s="52" t="str">
        <f t="shared" si="4"/>
        <v/>
      </c>
      <c r="U141" s="46" t="str">
        <f t="shared" si="5"/>
        <v/>
      </c>
      <c r="V141" s="53" t="str">
        <f>IFERROR(__xludf.DUMMYFUNCTION(" IF(Account!$F141&lt;&gt;"""", SPLIT(Account!$F141, "" ""), """")"),"")</f>
        <v/>
      </c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</row>
    <row r="142">
      <c r="A142" s="11"/>
      <c r="B142" s="11"/>
      <c r="C142" s="11"/>
      <c r="D142" s="11"/>
      <c r="E142" s="11"/>
      <c r="F142" s="12"/>
      <c r="G142" s="11"/>
      <c r="H142" s="11"/>
      <c r="I142" s="11"/>
      <c r="J142" s="11"/>
      <c r="K142" s="11"/>
      <c r="L142" s="45" t="str">
        <f t="shared" si="1"/>
        <v/>
      </c>
      <c r="M142" s="46" t="str">
        <f>IFERROR(__xludf.DUMMYFUNCTION("IF(Account!$F142&lt;&gt;"""", VALUE(REGEXREPLACE($I142, ""\,"", ""."")), """")"),"")</f>
        <v/>
      </c>
      <c r="N142" s="47" t="str">
        <f>IF(Account!$F142&lt;&gt;"", DATEVALUE(MID($A142,4,3) &amp; LEFT($A142,3) &amp; RIGHT($A142,4)) + TIMEVALUE($B142), "")</f>
        <v/>
      </c>
      <c r="O142" s="48" t="str">
        <f>IF(Account!$F142&lt;&gt;"", DATEVALUE(MID($A142,4,3) &amp; LEFT($A142,3) &amp; RIGHT($A142,4)), "")</f>
        <v/>
      </c>
      <c r="P142" s="49" t="str">
        <f>IFERROR(VLOOKUP($Q142,Selection!$F:$G,2,false))</f>
        <v/>
      </c>
      <c r="Q142" s="50" t="str">
        <f>IF(AND($X142="change",$H142="EUR"),IF(AND($Z142="Crédit",$N142=$N143),$Q143,IF(AND($Z142="Débit",$N142=$N141),$Q141)),IF(OR(AND(OR($E142&lt;&gt;"",$L142=""),$M142&lt;&gt;0),$A142=""),IFERROR(VLOOKUP($E142,Selection!$E:$F,2,false)),IFERROR(VLOOKUP(SUBSTITUTE($I142,"-","",1),$K143:$Q1119,7,false),VLOOKUP($K142,$K143:$Q1119,7,false))))</f>
        <v/>
      </c>
      <c r="R142" s="49" t="str">
        <f t="shared" si="2"/>
        <v/>
      </c>
      <c r="S142" s="51" t="str">
        <f t="shared" si="3"/>
        <v/>
      </c>
      <c r="T142" s="52" t="str">
        <f t="shared" si="4"/>
        <v/>
      </c>
      <c r="U142" s="46" t="str">
        <f t="shared" si="5"/>
        <v/>
      </c>
      <c r="V142" s="53" t="str">
        <f>IFERROR(__xludf.DUMMYFUNCTION(" IF(Account!$F142&lt;&gt;"""", SPLIT(Account!$F142, "" ""), """")"),"")</f>
        <v/>
      </c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</row>
    <row r="143">
      <c r="A143" s="11"/>
      <c r="B143" s="11"/>
      <c r="C143" s="11"/>
      <c r="D143" s="11"/>
      <c r="E143" s="11"/>
      <c r="F143" s="12"/>
      <c r="G143" s="11"/>
      <c r="H143" s="11"/>
      <c r="I143" s="11"/>
      <c r="J143" s="11"/>
      <c r="K143" s="11"/>
      <c r="L143" s="45" t="str">
        <f t="shared" si="1"/>
        <v/>
      </c>
      <c r="M143" s="46" t="str">
        <f>IFERROR(__xludf.DUMMYFUNCTION("IF(Account!$F143&lt;&gt;"""", VALUE(REGEXREPLACE($I143, ""\,"", ""."")), """")"),"")</f>
        <v/>
      </c>
      <c r="N143" s="47" t="str">
        <f>IF(Account!$F143&lt;&gt;"", DATEVALUE(MID($A143,4,3) &amp; LEFT($A143,3) &amp; RIGHT($A143,4)) + TIMEVALUE($B143), "")</f>
        <v/>
      </c>
      <c r="O143" s="48" t="str">
        <f>IF(Account!$F143&lt;&gt;"", DATEVALUE(MID($A143,4,3) &amp; LEFT($A143,3) &amp; RIGHT($A143,4)), "")</f>
        <v/>
      </c>
      <c r="P143" s="49" t="str">
        <f>IFERROR(VLOOKUP($Q143,Selection!$F:$G,2,false))</f>
        <v/>
      </c>
      <c r="Q143" s="50" t="str">
        <f>IF(AND($X143="change",$H143="EUR"),IF(AND($Z143="Crédit",$N143=$N144),$Q144,IF(AND($Z143="Débit",$N143=$N142),$Q142)),IF(OR(AND(OR($E143&lt;&gt;"",$L143=""),$M143&lt;&gt;0),$A143=""),IFERROR(VLOOKUP($E143,Selection!$E:$F,2,false)),IFERROR(VLOOKUP(SUBSTITUTE($I143,"-","",1),$K144:$Q1119,7,false),VLOOKUP($K143,$K144:$Q1119,7,false))))</f>
        <v/>
      </c>
      <c r="R143" s="49" t="str">
        <f t="shared" si="2"/>
        <v/>
      </c>
      <c r="S143" s="51" t="str">
        <f t="shared" si="3"/>
        <v/>
      </c>
      <c r="T143" s="52" t="str">
        <f t="shared" si="4"/>
        <v/>
      </c>
      <c r="U143" s="46" t="str">
        <f t="shared" si="5"/>
        <v/>
      </c>
      <c r="V143" s="53" t="str">
        <f>IFERROR(__xludf.DUMMYFUNCTION(" IF(Account!$F143&lt;&gt;"""", SPLIT(Account!$F143, "" ""), """")"),"")</f>
        <v/>
      </c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</row>
    <row r="144">
      <c r="A144" s="11"/>
      <c r="B144" s="11"/>
      <c r="C144" s="11"/>
      <c r="D144" s="11"/>
      <c r="E144" s="11"/>
      <c r="F144" s="12"/>
      <c r="G144" s="11"/>
      <c r="H144" s="11"/>
      <c r="I144" s="11"/>
      <c r="J144" s="11"/>
      <c r="K144" s="11"/>
      <c r="L144" s="45" t="str">
        <f t="shared" si="1"/>
        <v/>
      </c>
      <c r="M144" s="46" t="str">
        <f>IFERROR(__xludf.DUMMYFUNCTION("IF(Account!$F144&lt;&gt;"""", VALUE(REGEXREPLACE($I144, ""\,"", ""."")), """")"),"")</f>
        <v/>
      </c>
      <c r="N144" s="47" t="str">
        <f>IF(Account!$F144&lt;&gt;"", DATEVALUE(MID($A144,4,3) &amp; LEFT($A144,3) &amp; RIGHT($A144,4)) + TIMEVALUE($B144), "")</f>
        <v/>
      </c>
      <c r="O144" s="48" t="str">
        <f>IF(Account!$F144&lt;&gt;"", DATEVALUE(MID($A144,4,3) &amp; LEFT($A144,3) &amp; RIGHT($A144,4)), "")</f>
        <v/>
      </c>
      <c r="P144" s="49" t="str">
        <f>IFERROR(VLOOKUP($Q144,Selection!$F:$G,2,false))</f>
        <v/>
      </c>
      <c r="Q144" s="50" t="str">
        <f>IF(AND($X144="change",$H144="EUR"),IF(AND($Z144="Crédit",$N144=$N145),$Q145,IF(AND($Z144="Débit",$N144=$N143),$Q143)),IF(OR(AND(OR($E144&lt;&gt;"",$L144=""),$M144&lt;&gt;0),$A144=""),IFERROR(VLOOKUP($E144,Selection!$E:$F,2,false)),IFERROR(VLOOKUP(SUBSTITUTE($I144,"-","",1),$K145:$Q1119,7,false),VLOOKUP($K144,$K145:$Q1119,7,false))))</f>
        <v/>
      </c>
      <c r="R144" s="49" t="str">
        <f t="shared" si="2"/>
        <v/>
      </c>
      <c r="S144" s="51" t="str">
        <f t="shared" si="3"/>
        <v/>
      </c>
      <c r="T144" s="52" t="str">
        <f t="shared" si="4"/>
        <v/>
      </c>
      <c r="U144" s="46" t="str">
        <f t="shared" si="5"/>
        <v/>
      </c>
      <c r="V144" s="53" t="str">
        <f>IFERROR(__xludf.DUMMYFUNCTION(" IF(Account!$F144&lt;&gt;"""", SPLIT(Account!$F144, "" ""), """")"),"")</f>
        <v/>
      </c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</row>
    <row r="145">
      <c r="A145" s="11"/>
      <c r="B145" s="11"/>
      <c r="C145" s="11"/>
      <c r="D145" s="11"/>
      <c r="E145" s="11"/>
      <c r="F145" s="12"/>
      <c r="G145" s="11"/>
      <c r="H145" s="11"/>
      <c r="I145" s="11"/>
      <c r="J145" s="11"/>
      <c r="K145" s="11"/>
      <c r="L145" s="45" t="str">
        <f t="shared" si="1"/>
        <v/>
      </c>
      <c r="M145" s="46" t="str">
        <f>IFERROR(__xludf.DUMMYFUNCTION("IF(Account!$F145&lt;&gt;"""", VALUE(REGEXREPLACE($I145, ""\,"", ""."")), """")"),"")</f>
        <v/>
      </c>
      <c r="N145" s="47" t="str">
        <f>IF(Account!$F145&lt;&gt;"", DATEVALUE(MID($A145,4,3) &amp; LEFT($A145,3) &amp; RIGHT($A145,4)) + TIMEVALUE($B145), "")</f>
        <v/>
      </c>
      <c r="O145" s="48" t="str">
        <f>IF(Account!$F145&lt;&gt;"", DATEVALUE(MID($A145,4,3) &amp; LEFT($A145,3) &amp; RIGHT($A145,4)), "")</f>
        <v/>
      </c>
      <c r="P145" s="49" t="str">
        <f>IFERROR(VLOOKUP($Q145,Selection!$F:$G,2,false))</f>
        <v/>
      </c>
      <c r="Q145" s="50" t="str">
        <f>IF(AND($X145="change",$H145="EUR"),IF(AND($Z145="Crédit",$N145=$N146),$Q146,IF(AND($Z145="Débit",$N145=$N144),$Q144)),IF(OR(AND(OR($E145&lt;&gt;"",$L145=""),$M145&lt;&gt;0),$A145=""),IFERROR(VLOOKUP($E145,Selection!$E:$F,2,false)),IFERROR(VLOOKUP(SUBSTITUTE($I145,"-","",1),$K146:$Q1119,7,false),VLOOKUP($K145,$K146:$Q1119,7,false))))</f>
        <v/>
      </c>
      <c r="R145" s="49" t="str">
        <f t="shared" si="2"/>
        <v/>
      </c>
      <c r="S145" s="51" t="str">
        <f t="shared" si="3"/>
        <v/>
      </c>
      <c r="T145" s="52" t="str">
        <f t="shared" si="4"/>
        <v/>
      </c>
      <c r="U145" s="46" t="str">
        <f t="shared" si="5"/>
        <v/>
      </c>
      <c r="V145" s="53" t="str">
        <f>IFERROR(__xludf.DUMMYFUNCTION(" IF(Account!$F145&lt;&gt;"""", SPLIT(Account!$F145, "" ""), """")"),"")</f>
        <v/>
      </c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</row>
    <row r="146">
      <c r="A146" s="11"/>
      <c r="B146" s="11"/>
      <c r="C146" s="11"/>
      <c r="D146" s="11"/>
      <c r="E146" s="11"/>
      <c r="F146" s="12"/>
      <c r="G146" s="11"/>
      <c r="H146" s="11"/>
      <c r="I146" s="11"/>
      <c r="J146" s="11"/>
      <c r="K146" s="11"/>
      <c r="L146" s="45" t="str">
        <f t="shared" si="1"/>
        <v/>
      </c>
      <c r="M146" s="46" t="str">
        <f>IFERROR(__xludf.DUMMYFUNCTION("IF(Account!$F146&lt;&gt;"""", VALUE(REGEXREPLACE($I146, ""\,"", ""."")), """")"),"")</f>
        <v/>
      </c>
      <c r="N146" s="47" t="str">
        <f>IF(Account!$F146&lt;&gt;"", DATEVALUE(MID($A146,4,3) &amp; LEFT($A146,3) &amp; RIGHT($A146,4)) + TIMEVALUE($B146), "")</f>
        <v/>
      </c>
      <c r="O146" s="48" t="str">
        <f>IF(Account!$F146&lt;&gt;"", DATEVALUE(MID($A146,4,3) &amp; LEFT($A146,3) &amp; RIGHT($A146,4)), "")</f>
        <v/>
      </c>
      <c r="P146" s="49" t="str">
        <f>IFERROR(VLOOKUP($Q146,Selection!$F:$G,2,false))</f>
        <v/>
      </c>
      <c r="Q146" s="50" t="str">
        <f>IF(AND($X146="change",$H146="EUR"),IF(AND($Z146="Crédit",$N146=$N147),$Q147,IF(AND($Z146="Débit",$N146=$N145),$Q145)),IF(OR(AND(OR($E146&lt;&gt;"",$L146=""),$M146&lt;&gt;0),$A146=""),IFERROR(VLOOKUP($E146,Selection!$E:$F,2,false)),IFERROR(VLOOKUP(SUBSTITUTE($I146,"-","",1),$K147:$Q1119,7,false),VLOOKUP($K146,$K147:$Q1119,7,false))))</f>
        <v/>
      </c>
      <c r="R146" s="49" t="str">
        <f t="shared" si="2"/>
        <v/>
      </c>
      <c r="S146" s="51" t="str">
        <f t="shared" si="3"/>
        <v/>
      </c>
      <c r="T146" s="52" t="str">
        <f t="shared" si="4"/>
        <v/>
      </c>
      <c r="U146" s="46" t="str">
        <f t="shared" si="5"/>
        <v/>
      </c>
      <c r="V146" s="53" t="str">
        <f>IFERROR(__xludf.DUMMYFUNCTION(" IF(Account!$F146&lt;&gt;"""", SPLIT(Account!$F146, "" ""), """")"),"")</f>
        <v/>
      </c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</row>
    <row r="147">
      <c r="A147" s="11"/>
      <c r="B147" s="11"/>
      <c r="C147" s="11"/>
      <c r="D147" s="11"/>
      <c r="E147" s="11"/>
      <c r="F147" s="12"/>
      <c r="G147" s="11"/>
      <c r="H147" s="11"/>
      <c r="I147" s="11"/>
      <c r="J147" s="11"/>
      <c r="K147" s="11"/>
      <c r="L147" s="45" t="str">
        <f t="shared" si="1"/>
        <v/>
      </c>
      <c r="M147" s="46" t="str">
        <f>IFERROR(__xludf.DUMMYFUNCTION("IF(Account!$F147&lt;&gt;"""", VALUE(REGEXREPLACE($I147, ""\,"", ""."")), """")"),"")</f>
        <v/>
      </c>
      <c r="N147" s="47" t="str">
        <f>IF(Account!$F147&lt;&gt;"", DATEVALUE(MID($A147,4,3) &amp; LEFT($A147,3) &amp; RIGHT($A147,4)) + TIMEVALUE($B147), "")</f>
        <v/>
      </c>
      <c r="O147" s="48" t="str">
        <f>IF(Account!$F147&lt;&gt;"", DATEVALUE(MID($A147,4,3) &amp; LEFT($A147,3) &amp; RIGHT($A147,4)), "")</f>
        <v/>
      </c>
      <c r="P147" s="49" t="str">
        <f>IFERROR(VLOOKUP($Q147,Selection!$F:$G,2,false))</f>
        <v/>
      </c>
      <c r="Q147" s="50" t="str">
        <f>IF(AND($X147="change",$H147="EUR"),IF(AND($Z147="Crédit",$N147=$N148),$Q148,IF(AND($Z147="Débit",$N147=$N146),$Q146)),IF(OR(AND(OR($E147&lt;&gt;"",$L147=""),$M147&lt;&gt;0),$A147=""),IFERROR(VLOOKUP($E147,Selection!$E:$F,2,false)),IFERROR(VLOOKUP(SUBSTITUTE($I147,"-","",1),$K148:$Q1119,7,false),VLOOKUP($K147,$K148:$Q1119,7,false))))</f>
        <v/>
      </c>
      <c r="R147" s="49" t="str">
        <f t="shared" si="2"/>
        <v/>
      </c>
      <c r="S147" s="51" t="str">
        <f t="shared" si="3"/>
        <v/>
      </c>
      <c r="T147" s="52" t="str">
        <f t="shared" si="4"/>
        <v/>
      </c>
      <c r="U147" s="46" t="str">
        <f t="shared" si="5"/>
        <v/>
      </c>
      <c r="V147" s="53" t="str">
        <f>IFERROR(__xludf.DUMMYFUNCTION(" IF(Account!$F147&lt;&gt;"""", SPLIT(Account!$F147, "" ""), """")"),"")</f>
        <v/>
      </c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</row>
    <row r="148">
      <c r="A148" s="11"/>
      <c r="B148" s="11"/>
      <c r="C148" s="11"/>
      <c r="D148" s="11"/>
      <c r="E148" s="11"/>
      <c r="F148" s="12"/>
      <c r="G148" s="11"/>
      <c r="H148" s="11"/>
      <c r="I148" s="11"/>
      <c r="J148" s="11"/>
      <c r="K148" s="11"/>
      <c r="L148" s="45" t="str">
        <f t="shared" si="1"/>
        <v/>
      </c>
      <c r="M148" s="46" t="str">
        <f>IFERROR(__xludf.DUMMYFUNCTION("IF(Account!$F148&lt;&gt;"""", VALUE(REGEXREPLACE($I148, ""\,"", ""."")), """")"),"")</f>
        <v/>
      </c>
      <c r="N148" s="47" t="str">
        <f>IF(Account!$F148&lt;&gt;"", DATEVALUE(MID($A148,4,3) &amp; LEFT($A148,3) &amp; RIGHT($A148,4)) + TIMEVALUE($B148), "")</f>
        <v/>
      </c>
      <c r="O148" s="48" t="str">
        <f>IF(Account!$F148&lt;&gt;"", DATEVALUE(MID($A148,4,3) &amp; LEFT($A148,3) &amp; RIGHT($A148,4)), "")</f>
        <v/>
      </c>
      <c r="P148" s="49" t="str">
        <f>IFERROR(VLOOKUP($Q148,Selection!$F:$G,2,false))</f>
        <v/>
      </c>
      <c r="Q148" s="50" t="str">
        <f>IF(AND($X148="change",$H148="EUR"),IF(AND($Z148="Crédit",$N148=$N149),$Q149,IF(AND($Z148="Débit",$N148=$N147),$Q147)),IF(OR(AND(OR($E148&lt;&gt;"",$L148=""),$M148&lt;&gt;0),$A148=""),IFERROR(VLOOKUP($E148,Selection!$E:$F,2,false)),IFERROR(VLOOKUP(SUBSTITUTE($I148,"-","",1),$K149:$Q1119,7,false),VLOOKUP($K148,$K149:$Q1119,7,false))))</f>
        <v/>
      </c>
      <c r="R148" s="49" t="str">
        <f t="shared" si="2"/>
        <v/>
      </c>
      <c r="S148" s="51" t="str">
        <f t="shared" si="3"/>
        <v/>
      </c>
      <c r="T148" s="52" t="str">
        <f t="shared" si="4"/>
        <v/>
      </c>
      <c r="U148" s="46" t="str">
        <f t="shared" si="5"/>
        <v/>
      </c>
      <c r="V148" s="53" t="str">
        <f>IFERROR(__xludf.DUMMYFUNCTION(" IF(Account!$F148&lt;&gt;"""", SPLIT(Account!$F148, "" ""), """")"),"")</f>
        <v/>
      </c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</row>
    <row r="149">
      <c r="A149" s="11"/>
      <c r="B149" s="11"/>
      <c r="C149" s="11"/>
      <c r="D149" s="11"/>
      <c r="E149" s="11"/>
      <c r="F149" s="12"/>
      <c r="G149" s="11"/>
      <c r="H149" s="11"/>
      <c r="I149" s="11"/>
      <c r="J149" s="11"/>
      <c r="K149" s="11"/>
      <c r="L149" s="45" t="str">
        <f t="shared" si="1"/>
        <v/>
      </c>
      <c r="M149" s="46" t="str">
        <f>IFERROR(__xludf.DUMMYFUNCTION("IF(Account!$F149&lt;&gt;"""", VALUE(REGEXREPLACE($I149, ""\,"", ""."")), """")"),"")</f>
        <v/>
      </c>
      <c r="N149" s="47" t="str">
        <f>IF(Account!$F149&lt;&gt;"", DATEVALUE(MID($A149,4,3) &amp; LEFT($A149,3) &amp; RIGHT($A149,4)) + TIMEVALUE($B149), "")</f>
        <v/>
      </c>
      <c r="O149" s="48" t="str">
        <f>IF(Account!$F149&lt;&gt;"", DATEVALUE(MID($A149,4,3) &amp; LEFT($A149,3) &amp; RIGHT($A149,4)), "")</f>
        <v/>
      </c>
      <c r="P149" s="49" t="str">
        <f>IFERROR(VLOOKUP($Q149,Selection!$F:$G,2,false))</f>
        <v/>
      </c>
      <c r="Q149" s="50" t="str">
        <f>IF(AND($X149="change",$H149="EUR"),IF(AND($Z149="Crédit",$N149=$N150),$Q150,IF(AND($Z149="Débit",$N149=$N148),$Q148)),IF(OR(AND(OR($E149&lt;&gt;"",$L149=""),$M149&lt;&gt;0),$A149=""),IFERROR(VLOOKUP($E149,Selection!$E:$F,2,false)),IFERROR(VLOOKUP(SUBSTITUTE($I149,"-","",1),$K150:$Q1119,7,false),VLOOKUP($K149,$K150:$Q1119,7,false))))</f>
        <v/>
      </c>
      <c r="R149" s="49" t="str">
        <f t="shared" si="2"/>
        <v/>
      </c>
      <c r="S149" s="51" t="str">
        <f t="shared" si="3"/>
        <v/>
      </c>
      <c r="T149" s="52" t="str">
        <f t="shared" si="4"/>
        <v/>
      </c>
      <c r="U149" s="46" t="str">
        <f t="shared" si="5"/>
        <v/>
      </c>
      <c r="V149" s="53" t="str">
        <f>IFERROR(__xludf.DUMMYFUNCTION(" IF(Account!$F149&lt;&gt;"""", SPLIT(Account!$F149, "" ""), """")"),"")</f>
        <v/>
      </c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</row>
    <row r="150">
      <c r="A150" s="11"/>
      <c r="B150" s="11"/>
      <c r="C150" s="11"/>
      <c r="D150" s="11"/>
      <c r="E150" s="11"/>
      <c r="F150" s="12"/>
      <c r="G150" s="11"/>
      <c r="H150" s="11"/>
      <c r="I150" s="11"/>
      <c r="J150" s="11"/>
      <c r="K150" s="11"/>
      <c r="L150" s="45" t="str">
        <f t="shared" si="1"/>
        <v/>
      </c>
      <c r="M150" s="46" t="str">
        <f>IFERROR(__xludf.DUMMYFUNCTION("IF(Account!$F150&lt;&gt;"""", VALUE(REGEXREPLACE($I150, ""\,"", ""."")), """")"),"")</f>
        <v/>
      </c>
      <c r="N150" s="47" t="str">
        <f>IF(Account!$F150&lt;&gt;"", DATEVALUE(MID($A150,4,3) &amp; LEFT($A150,3) &amp; RIGHT($A150,4)) + TIMEVALUE($B150), "")</f>
        <v/>
      </c>
      <c r="O150" s="48" t="str">
        <f>IF(Account!$F150&lt;&gt;"", DATEVALUE(MID($A150,4,3) &amp; LEFT($A150,3) &amp; RIGHT($A150,4)), "")</f>
        <v/>
      </c>
      <c r="P150" s="49" t="str">
        <f>IFERROR(VLOOKUP($Q150,Selection!$F:$G,2,false))</f>
        <v/>
      </c>
      <c r="Q150" s="50" t="str">
        <f>IF(AND($X150="change",$H150="EUR"),IF(AND($Z150="Crédit",$N150=$N151),$Q151,IF(AND($Z150="Débit",$N150=$N149),$Q149)),IF(OR(AND(OR($E150&lt;&gt;"",$L150=""),$M150&lt;&gt;0),$A150=""),IFERROR(VLOOKUP($E150,Selection!$E:$F,2,false)),IFERROR(VLOOKUP(SUBSTITUTE($I150,"-","",1),$K151:$Q1119,7,false),VLOOKUP($K150,$K151:$Q1119,7,false))))</f>
        <v/>
      </c>
      <c r="R150" s="49" t="str">
        <f t="shared" si="2"/>
        <v/>
      </c>
      <c r="S150" s="51" t="str">
        <f t="shared" si="3"/>
        <v/>
      </c>
      <c r="T150" s="52" t="str">
        <f t="shared" si="4"/>
        <v/>
      </c>
      <c r="U150" s="46" t="str">
        <f t="shared" si="5"/>
        <v/>
      </c>
      <c r="V150" s="53" t="str">
        <f>IFERROR(__xludf.DUMMYFUNCTION(" IF(Account!$F150&lt;&gt;"""", SPLIT(Account!$F150, "" ""), """")"),"")</f>
        <v/>
      </c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</row>
    <row r="151">
      <c r="A151" s="11"/>
      <c r="B151" s="11"/>
      <c r="C151" s="11"/>
      <c r="D151" s="11"/>
      <c r="E151" s="11"/>
      <c r="F151" s="12"/>
      <c r="G151" s="11"/>
      <c r="H151" s="11"/>
      <c r="I151" s="11"/>
      <c r="J151" s="11"/>
      <c r="K151" s="11"/>
      <c r="L151" s="45" t="str">
        <f t="shared" si="1"/>
        <v/>
      </c>
      <c r="M151" s="46" t="str">
        <f>IFERROR(__xludf.DUMMYFUNCTION("IF(Account!$F151&lt;&gt;"""", VALUE(REGEXREPLACE($I151, ""\,"", ""."")), """")"),"")</f>
        <v/>
      </c>
      <c r="N151" s="47" t="str">
        <f>IF(Account!$F151&lt;&gt;"", DATEVALUE(MID($A151,4,3) &amp; LEFT($A151,3) &amp; RIGHT($A151,4)) + TIMEVALUE($B151), "")</f>
        <v/>
      </c>
      <c r="O151" s="48" t="str">
        <f>IF(Account!$F151&lt;&gt;"", DATEVALUE(MID($A151,4,3) &amp; LEFT($A151,3) &amp; RIGHT($A151,4)), "")</f>
        <v/>
      </c>
      <c r="P151" s="49" t="str">
        <f>IFERROR(VLOOKUP($Q151,Selection!$F:$G,2,false))</f>
        <v/>
      </c>
      <c r="Q151" s="50" t="str">
        <f>IF(AND($X151="change",$H151="EUR"),IF(AND($Z151="Crédit",$N151=$N152),$Q152,IF(AND($Z151="Débit",$N151=$N150),$Q150)),IF(OR(AND(OR($E151&lt;&gt;"",$L151=""),$M151&lt;&gt;0),$A151=""),IFERROR(VLOOKUP($E151,Selection!$E:$F,2,false)),IFERROR(VLOOKUP(SUBSTITUTE($I151,"-","",1),$K152:$Q1119,7,false),VLOOKUP($K151,$K152:$Q1119,7,false))))</f>
        <v/>
      </c>
      <c r="R151" s="49" t="str">
        <f t="shared" si="2"/>
        <v/>
      </c>
      <c r="S151" s="51" t="str">
        <f t="shared" si="3"/>
        <v/>
      </c>
      <c r="T151" s="52" t="str">
        <f t="shared" si="4"/>
        <v/>
      </c>
      <c r="U151" s="46" t="str">
        <f t="shared" si="5"/>
        <v/>
      </c>
      <c r="V151" s="53" t="str">
        <f>IFERROR(__xludf.DUMMYFUNCTION(" IF(Account!$F151&lt;&gt;"""", SPLIT(Account!$F151, "" ""), """")"),"")</f>
        <v/>
      </c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</row>
    <row r="152">
      <c r="A152" s="11"/>
      <c r="B152" s="11"/>
      <c r="C152" s="11"/>
      <c r="D152" s="11"/>
      <c r="E152" s="11"/>
      <c r="F152" s="12"/>
      <c r="G152" s="11"/>
      <c r="H152" s="11"/>
      <c r="I152" s="11"/>
      <c r="J152" s="11"/>
      <c r="K152" s="11"/>
      <c r="L152" s="45" t="str">
        <f t="shared" si="1"/>
        <v/>
      </c>
      <c r="M152" s="46" t="str">
        <f>IFERROR(__xludf.DUMMYFUNCTION("IF(Account!$F152&lt;&gt;"""", VALUE(REGEXREPLACE($I152, ""\,"", ""."")), """")"),"")</f>
        <v/>
      </c>
      <c r="N152" s="47" t="str">
        <f>IF(Account!$F152&lt;&gt;"", DATEVALUE(MID($A152,4,3) &amp; LEFT($A152,3) &amp; RIGHT($A152,4)) + TIMEVALUE($B152), "")</f>
        <v/>
      </c>
      <c r="O152" s="48" t="str">
        <f>IF(Account!$F152&lt;&gt;"", DATEVALUE(MID($A152,4,3) &amp; LEFT($A152,3) &amp; RIGHT($A152,4)), "")</f>
        <v/>
      </c>
      <c r="P152" s="49" t="str">
        <f>IFERROR(VLOOKUP($Q152,Selection!$F:$G,2,false))</f>
        <v/>
      </c>
      <c r="Q152" s="50" t="str">
        <f>IF(AND($X152="change",$H152="EUR"),IF(AND($Z152="Crédit",$N152=$N153),$Q153,IF(AND($Z152="Débit",$N152=$N151),$Q151)),IF(OR(AND(OR($E152&lt;&gt;"",$L152=""),$M152&lt;&gt;0),$A152=""),IFERROR(VLOOKUP($E152,Selection!$E:$F,2,false)),IFERROR(VLOOKUP(SUBSTITUTE($I152,"-","",1),$K153:$Q1119,7,false),VLOOKUP($K152,$K153:$Q1119,7,false))))</f>
        <v/>
      </c>
      <c r="R152" s="49" t="str">
        <f t="shared" si="2"/>
        <v/>
      </c>
      <c r="S152" s="51" t="str">
        <f t="shared" si="3"/>
        <v/>
      </c>
      <c r="T152" s="52" t="str">
        <f t="shared" si="4"/>
        <v/>
      </c>
      <c r="U152" s="46" t="str">
        <f t="shared" si="5"/>
        <v/>
      </c>
      <c r="V152" s="53" t="str">
        <f>IFERROR(__xludf.DUMMYFUNCTION(" IF(Account!$F152&lt;&gt;"""", SPLIT(Account!$F152, "" ""), """")"),"")</f>
        <v/>
      </c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</row>
    <row r="153">
      <c r="A153" s="11"/>
      <c r="B153" s="11"/>
      <c r="C153" s="11"/>
      <c r="D153" s="11"/>
      <c r="E153" s="11"/>
      <c r="F153" s="12"/>
      <c r="G153" s="11"/>
      <c r="H153" s="11"/>
      <c r="I153" s="11"/>
      <c r="J153" s="11"/>
      <c r="K153" s="11"/>
      <c r="L153" s="45" t="str">
        <f t="shared" si="1"/>
        <v/>
      </c>
      <c r="M153" s="46" t="str">
        <f>IFERROR(__xludf.DUMMYFUNCTION("IF(Account!$F153&lt;&gt;"""", VALUE(REGEXREPLACE($I153, ""\,"", ""."")), """")"),"")</f>
        <v/>
      </c>
      <c r="N153" s="47" t="str">
        <f>IF(Account!$F153&lt;&gt;"", DATEVALUE(MID($A153,4,3) &amp; LEFT($A153,3) &amp; RIGHT($A153,4)) + TIMEVALUE($B153), "")</f>
        <v/>
      </c>
      <c r="O153" s="48" t="str">
        <f>IF(Account!$F153&lt;&gt;"", DATEVALUE(MID($A153,4,3) &amp; LEFT($A153,3) &amp; RIGHT($A153,4)), "")</f>
        <v/>
      </c>
      <c r="P153" s="49" t="str">
        <f>IFERROR(VLOOKUP($Q153,Selection!$F:$G,2,false))</f>
        <v/>
      </c>
      <c r="Q153" s="50" t="str">
        <f>IF(AND($X153="change",$H153="EUR"),IF(AND($Z153="Crédit",$N153=$N154),$Q154,IF(AND($Z153="Débit",$N153=$N152),$Q152)),IF(OR(AND(OR($E153&lt;&gt;"",$L153=""),$M153&lt;&gt;0),$A153=""),IFERROR(VLOOKUP($E153,Selection!$E:$F,2,false)),IFERROR(VLOOKUP(SUBSTITUTE($I153,"-","",1),$K154:$Q1119,7,false),VLOOKUP($K153,$K154:$Q1119,7,false))))</f>
        <v/>
      </c>
      <c r="R153" s="49" t="str">
        <f t="shared" si="2"/>
        <v/>
      </c>
      <c r="S153" s="51" t="str">
        <f t="shared" si="3"/>
        <v/>
      </c>
      <c r="T153" s="52" t="str">
        <f t="shared" si="4"/>
        <v/>
      </c>
      <c r="U153" s="46" t="str">
        <f t="shared" si="5"/>
        <v/>
      </c>
      <c r="V153" s="53" t="str">
        <f>IFERROR(__xludf.DUMMYFUNCTION(" IF(Account!$F153&lt;&gt;"""", SPLIT(Account!$F153, "" ""), """")"),"")</f>
        <v/>
      </c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</row>
    <row r="154">
      <c r="A154" s="11"/>
      <c r="B154" s="11"/>
      <c r="C154" s="11"/>
      <c r="D154" s="11"/>
      <c r="E154" s="11"/>
      <c r="F154" s="12"/>
      <c r="G154" s="11"/>
      <c r="H154" s="11"/>
      <c r="I154" s="11"/>
      <c r="J154" s="11"/>
      <c r="K154" s="11"/>
      <c r="L154" s="45" t="str">
        <f t="shared" si="1"/>
        <v/>
      </c>
      <c r="M154" s="46" t="str">
        <f>IFERROR(__xludf.DUMMYFUNCTION("IF(Account!$F154&lt;&gt;"""", VALUE(REGEXREPLACE($I154, ""\,"", ""."")), """")"),"")</f>
        <v/>
      </c>
      <c r="N154" s="47" t="str">
        <f>IF(Account!$F154&lt;&gt;"", DATEVALUE(MID($A154,4,3) &amp; LEFT($A154,3) &amp; RIGHT($A154,4)) + TIMEVALUE($B154), "")</f>
        <v/>
      </c>
      <c r="O154" s="48" t="str">
        <f>IF(Account!$F154&lt;&gt;"", DATEVALUE(MID($A154,4,3) &amp; LEFT($A154,3) &amp; RIGHT($A154,4)), "")</f>
        <v/>
      </c>
      <c r="P154" s="49" t="str">
        <f>IFERROR(VLOOKUP($Q154,Selection!$F:$G,2,false))</f>
        <v/>
      </c>
      <c r="Q154" s="50" t="str">
        <f>IF(AND($X154="change",$H154="EUR"),IF(AND($Z154="Crédit",$N154=$N155),$Q155,IF(AND($Z154="Débit",$N154=$N153),$Q153)),IF(OR(AND(OR($E154&lt;&gt;"",$L154=""),$M154&lt;&gt;0),$A154=""),IFERROR(VLOOKUP($E154,Selection!$E:$F,2,false)),IFERROR(VLOOKUP(SUBSTITUTE($I154,"-","",1),$K155:$Q1119,7,false),VLOOKUP($K154,$K155:$Q1119,7,false))))</f>
        <v/>
      </c>
      <c r="R154" s="49" t="str">
        <f t="shared" si="2"/>
        <v/>
      </c>
      <c r="S154" s="51" t="str">
        <f t="shared" si="3"/>
        <v/>
      </c>
      <c r="T154" s="52" t="str">
        <f t="shared" si="4"/>
        <v/>
      </c>
      <c r="U154" s="46" t="str">
        <f t="shared" si="5"/>
        <v/>
      </c>
      <c r="V154" s="53" t="str">
        <f>IFERROR(__xludf.DUMMYFUNCTION(" IF(Account!$F154&lt;&gt;"""", SPLIT(Account!$F154, "" ""), """")"),"")</f>
        <v/>
      </c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</row>
    <row r="155">
      <c r="A155" s="11"/>
      <c r="B155" s="11"/>
      <c r="C155" s="11"/>
      <c r="D155" s="11"/>
      <c r="E155" s="11"/>
      <c r="F155" s="12"/>
      <c r="G155" s="11"/>
      <c r="H155" s="11"/>
      <c r="I155" s="11"/>
      <c r="J155" s="11"/>
      <c r="K155" s="11"/>
      <c r="L155" s="45" t="str">
        <f t="shared" si="1"/>
        <v/>
      </c>
      <c r="M155" s="46" t="str">
        <f>IFERROR(__xludf.DUMMYFUNCTION("IF(Account!$F155&lt;&gt;"""", VALUE(REGEXREPLACE($I155, ""\,"", ""."")), """")"),"")</f>
        <v/>
      </c>
      <c r="N155" s="47" t="str">
        <f>IF(Account!$F155&lt;&gt;"", DATEVALUE(MID($A155,4,3) &amp; LEFT($A155,3) &amp; RIGHT($A155,4)) + TIMEVALUE($B155), "")</f>
        <v/>
      </c>
      <c r="O155" s="48" t="str">
        <f>IF(Account!$F155&lt;&gt;"", DATEVALUE(MID($A155,4,3) &amp; LEFT($A155,3) &amp; RIGHT($A155,4)), "")</f>
        <v/>
      </c>
      <c r="P155" s="49" t="str">
        <f>IFERROR(VLOOKUP($Q155,Selection!$F:$G,2,false))</f>
        <v/>
      </c>
      <c r="Q155" s="50" t="str">
        <f>IF(AND($X155="change",$H155="EUR"),IF(AND($Z155="Crédit",$N155=$N156),$Q156,IF(AND($Z155="Débit",$N155=$N154),$Q154)),IF(OR(AND(OR($E155&lt;&gt;"",$L155=""),$M155&lt;&gt;0),$A155=""),IFERROR(VLOOKUP($E155,Selection!$E:$F,2,false)),IFERROR(VLOOKUP(SUBSTITUTE($I155,"-","",1),$K156:$Q1119,7,false),VLOOKUP($K155,$K156:$Q1119,7,false))))</f>
        <v/>
      </c>
      <c r="R155" s="49" t="str">
        <f t="shared" si="2"/>
        <v/>
      </c>
      <c r="S155" s="51" t="str">
        <f t="shared" si="3"/>
        <v/>
      </c>
      <c r="T155" s="52" t="str">
        <f t="shared" si="4"/>
        <v/>
      </c>
      <c r="U155" s="46" t="str">
        <f t="shared" si="5"/>
        <v/>
      </c>
      <c r="V155" s="53" t="str">
        <f>IFERROR(__xludf.DUMMYFUNCTION(" IF(Account!$F155&lt;&gt;"""", SPLIT(Account!$F155, "" ""), """")"),"")</f>
        <v/>
      </c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</row>
    <row r="156">
      <c r="A156" s="11"/>
      <c r="B156" s="11"/>
      <c r="C156" s="11"/>
      <c r="D156" s="11"/>
      <c r="E156" s="11"/>
      <c r="F156" s="12"/>
      <c r="G156" s="11"/>
      <c r="H156" s="11"/>
      <c r="I156" s="11"/>
      <c r="J156" s="11"/>
      <c r="K156" s="11"/>
      <c r="L156" s="45" t="str">
        <f t="shared" si="1"/>
        <v/>
      </c>
      <c r="M156" s="46" t="str">
        <f>IFERROR(__xludf.DUMMYFUNCTION("IF(Account!$F156&lt;&gt;"""", VALUE(REGEXREPLACE($I156, ""\,"", ""."")), """")"),"")</f>
        <v/>
      </c>
      <c r="N156" s="47" t="str">
        <f>IF(Account!$F156&lt;&gt;"", DATEVALUE(MID($A156,4,3) &amp; LEFT($A156,3) &amp; RIGHT($A156,4)) + TIMEVALUE($B156), "")</f>
        <v/>
      </c>
      <c r="O156" s="48" t="str">
        <f>IF(Account!$F156&lt;&gt;"", DATEVALUE(MID($A156,4,3) &amp; LEFT($A156,3) &amp; RIGHT($A156,4)), "")</f>
        <v/>
      </c>
      <c r="P156" s="49" t="str">
        <f>IFERROR(VLOOKUP($Q156,Selection!$F:$G,2,false))</f>
        <v/>
      </c>
      <c r="Q156" s="50" t="str">
        <f>IF(AND($X156="change",$H156="EUR"),IF(AND($Z156="Crédit",$N156=$N157),$Q157,IF(AND($Z156="Débit",$N156=$N155),$Q155)),IF(OR(AND(OR($E156&lt;&gt;"",$L156=""),$M156&lt;&gt;0),$A156=""),IFERROR(VLOOKUP($E156,Selection!$E:$F,2,false)),IFERROR(VLOOKUP(SUBSTITUTE($I156,"-","",1),$K157:$Q1119,7,false),VLOOKUP($K156,$K157:$Q1119,7,false))))</f>
        <v/>
      </c>
      <c r="R156" s="49" t="str">
        <f t="shared" si="2"/>
        <v/>
      </c>
      <c r="S156" s="51" t="str">
        <f t="shared" si="3"/>
        <v/>
      </c>
      <c r="T156" s="52" t="str">
        <f t="shared" si="4"/>
        <v/>
      </c>
      <c r="U156" s="46" t="str">
        <f t="shared" si="5"/>
        <v/>
      </c>
      <c r="V156" s="53" t="str">
        <f>IFERROR(__xludf.DUMMYFUNCTION(" IF(Account!$F156&lt;&gt;"""", SPLIT(Account!$F156, "" ""), """")"),"")</f>
        <v/>
      </c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</row>
    <row r="157">
      <c r="A157" s="11"/>
      <c r="B157" s="11"/>
      <c r="C157" s="11"/>
      <c r="D157" s="11"/>
      <c r="E157" s="11"/>
      <c r="F157" s="12"/>
      <c r="G157" s="11"/>
      <c r="H157" s="11"/>
      <c r="I157" s="11"/>
      <c r="J157" s="11"/>
      <c r="K157" s="11"/>
      <c r="L157" s="45" t="str">
        <f t="shared" si="1"/>
        <v/>
      </c>
      <c r="M157" s="46" t="str">
        <f>IFERROR(__xludf.DUMMYFUNCTION("IF(Account!$F157&lt;&gt;"""", VALUE(REGEXREPLACE($I157, ""\,"", ""."")), """")"),"")</f>
        <v/>
      </c>
      <c r="N157" s="47" t="str">
        <f>IF(Account!$F157&lt;&gt;"", DATEVALUE(MID($A157,4,3) &amp; LEFT($A157,3) &amp; RIGHT($A157,4)) + TIMEVALUE($B157), "")</f>
        <v/>
      </c>
      <c r="O157" s="48" t="str">
        <f>IF(Account!$F157&lt;&gt;"", DATEVALUE(MID($A157,4,3) &amp; LEFT($A157,3) &amp; RIGHT($A157,4)), "")</f>
        <v/>
      </c>
      <c r="P157" s="49" t="str">
        <f>IFERROR(VLOOKUP($Q157,Selection!$F:$G,2,false))</f>
        <v/>
      </c>
      <c r="Q157" s="50" t="str">
        <f>IF(AND($X157="change",$H157="EUR"),IF(AND($Z157="Crédit",$N157=$N158),$Q158,IF(AND($Z157="Débit",$N157=$N156),$Q156)),IF(OR(AND(OR($E157&lt;&gt;"",$L157=""),$M157&lt;&gt;0),$A157=""),IFERROR(VLOOKUP($E157,Selection!$E:$F,2,false)),IFERROR(VLOOKUP(SUBSTITUTE($I157,"-","",1),$K158:$Q1119,7,false),VLOOKUP($K157,$K158:$Q1119,7,false))))</f>
        <v/>
      </c>
      <c r="R157" s="49" t="str">
        <f t="shared" si="2"/>
        <v/>
      </c>
      <c r="S157" s="51" t="str">
        <f t="shared" si="3"/>
        <v/>
      </c>
      <c r="T157" s="52" t="str">
        <f t="shared" si="4"/>
        <v/>
      </c>
      <c r="U157" s="46" t="str">
        <f t="shared" si="5"/>
        <v/>
      </c>
      <c r="V157" s="53" t="str">
        <f>IFERROR(__xludf.DUMMYFUNCTION(" IF(Account!$F157&lt;&gt;"""", SPLIT(Account!$F157, "" ""), """")"),"")</f>
        <v/>
      </c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</row>
    <row r="158">
      <c r="A158" s="11"/>
      <c r="B158" s="11"/>
      <c r="C158" s="11"/>
      <c r="D158" s="11"/>
      <c r="E158" s="11"/>
      <c r="F158" s="12"/>
      <c r="G158" s="11"/>
      <c r="H158" s="11"/>
      <c r="I158" s="11"/>
      <c r="J158" s="11"/>
      <c r="K158" s="11"/>
      <c r="L158" s="45" t="str">
        <f t="shared" si="1"/>
        <v/>
      </c>
      <c r="M158" s="46" t="str">
        <f>IFERROR(__xludf.DUMMYFUNCTION("IF(Account!$F158&lt;&gt;"""", VALUE(REGEXREPLACE($I158, ""\,"", ""."")), """")"),"")</f>
        <v/>
      </c>
      <c r="N158" s="47" t="str">
        <f>IF(Account!$F158&lt;&gt;"", DATEVALUE(MID($A158,4,3) &amp; LEFT($A158,3) &amp; RIGHT($A158,4)) + TIMEVALUE($B158), "")</f>
        <v/>
      </c>
      <c r="O158" s="48" t="str">
        <f>IF(Account!$F158&lt;&gt;"", DATEVALUE(MID($A158,4,3) &amp; LEFT($A158,3) &amp; RIGHT($A158,4)), "")</f>
        <v/>
      </c>
      <c r="P158" s="49" t="str">
        <f>IFERROR(VLOOKUP($Q158,Selection!$F:$G,2,false))</f>
        <v/>
      </c>
      <c r="Q158" s="50" t="str">
        <f>IF(AND($X158="change",$H158="EUR"),IF(AND($Z158="Crédit",$N158=$N159),$Q159,IF(AND($Z158="Débit",$N158=$N157),$Q157)),IF(OR(AND(OR($E158&lt;&gt;"",$L158=""),$M158&lt;&gt;0),$A158=""),IFERROR(VLOOKUP($E158,Selection!$E:$F,2,false)),IFERROR(VLOOKUP(SUBSTITUTE($I158,"-","",1),$K159:$Q1119,7,false),VLOOKUP($K158,$K159:$Q1119,7,false))))</f>
        <v/>
      </c>
      <c r="R158" s="49" t="str">
        <f t="shared" si="2"/>
        <v/>
      </c>
      <c r="S158" s="51" t="str">
        <f t="shared" si="3"/>
        <v/>
      </c>
      <c r="T158" s="52" t="str">
        <f t="shared" si="4"/>
        <v/>
      </c>
      <c r="U158" s="46" t="str">
        <f t="shared" si="5"/>
        <v/>
      </c>
      <c r="V158" s="53" t="str">
        <f>IFERROR(__xludf.DUMMYFUNCTION(" IF(Account!$F158&lt;&gt;"""", SPLIT(Account!$F158, "" ""), """")"),"")</f>
        <v/>
      </c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</row>
    <row r="159">
      <c r="A159" s="11"/>
      <c r="B159" s="11"/>
      <c r="C159" s="11"/>
      <c r="D159" s="11"/>
      <c r="E159" s="11"/>
      <c r="F159" s="12"/>
      <c r="G159" s="11"/>
      <c r="H159" s="11"/>
      <c r="I159" s="11"/>
      <c r="J159" s="11"/>
      <c r="K159" s="11"/>
      <c r="L159" s="45" t="str">
        <f t="shared" si="1"/>
        <v/>
      </c>
      <c r="M159" s="46" t="str">
        <f>IFERROR(__xludf.DUMMYFUNCTION("IF(Account!$F159&lt;&gt;"""", VALUE(REGEXREPLACE($I159, ""\,"", ""."")), """")"),"")</f>
        <v/>
      </c>
      <c r="N159" s="47" t="str">
        <f>IF(Account!$F159&lt;&gt;"", DATEVALUE(MID($A159,4,3) &amp; LEFT($A159,3) &amp; RIGHT($A159,4)) + TIMEVALUE($B159), "")</f>
        <v/>
      </c>
      <c r="O159" s="48" t="str">
        <f>IF(Account!$F159&lt;&gt;"", DATEVALUE(MID($A159,4,3) &amp; LEFT($A159,3) &amp; RIGHT($A159,4)), "")</f>
        <v/>
      </c>
      <c r="P159" s="49" t="str">
        <f>IFERROR(VLOOKUP($Q159,Selection!$F:$G,2,false))</f>
        <v/>
      </c>
      <c r="Q159" s="50" t="str">
        <f>IF(AND($X159="change",$H159="EUR"),IF(AND($Z159="Crédit",$N159=$N160),$Q160,IF(AND($Z159="Débit",$N159=$N158),$Q158)),IF(OR(AND(OR($E159&lt;&gt;"",$L159=""),$M159&lt;&gt;0),$A159=""),IFERROR(VLOOKUP($E159,Selection!$E:$F,2,false)),IFERROR(VLOOKUP(SUBSTITUTE($I159,"-","",1),$K160:$Q1119,7,false),VLOOKUP($K159,$K160:$Q1119,7,false))))</f>
        <v/>
      </c>
      <c r="R159" s="49" t="str">
        <f t="shared" si="2"/>
        <v/>
      </c>
      <c r="S159" s="51" t="str">
        <f t="shared" si="3"/>
        <v/>
      </c>
      <c r="T159" s="52" t="str">
        <f t="shared" si="4"/>
        <v/>
      </c>
      <c r="U159" s="46" t="str">
        <f t="shared" si="5"/>
        <v/>
      </c>
      <c r="V159" s="53" t="str">
        <f>IFERROR(__xludf.DUMMYFUNCTION(" IF(Account!$F159&lt;&gt;"""", SPLIT(Account!$F159, "" ""), """")"),"")</f>
        <v/>
      </c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</row>
    <row r="160">
      <c r="A160" s="11"/>
      <c r="B160" s="11"/>
      <c r="C160" s="11"/>
      <c r="D160" s="11"/>
      <c r="E160" s="11"/>
      <c r="F160" s="12"/>
      <c r="G160" s="11"/>
      <c r="H160" s="11"/>
      <c r="I160" s="11"/>
      <c r="J160" s="11"/>
      <c r="K160" s="11"/>
      <c r="L160" s="45" t="str">
        <f t="shared" si="1"/>
        <v/>
      </c>
      <c r="M160" s="46" t="str">
        <f>IFERROR(__xludf.DUMMYFUNCTION("IF(Account!$F160&lt;&gt;"""", VALUE(REGEXREPLACE($I160, ""\,"", ""."")), """")"),"")</f>
        <v/>
      </c>
      <c r="N160" s="47" t="str">
        <f>IF(Account!$F160&lt;&gt;"", DATEVALUE(MID($A160,4,3) &amp; LEFT($A160,3) &amp; RIGHT($A160,4)) + TIMEVALUE($B160), "")</f>
        <v/>
      </c>
      <c r="O160" s="48" t="str">
        <f>IF(Account!$F160&lt;&gt;"", DATEVALUE(MID($A160,4,3) &amp; LEFT($A160,3) &amp; RIGHT($A160,4)), "")</f>
        <v/>
      </c>
      <c r="P160" s="49" t="str">
        <f>IFERROR(VLOOKUP($Q160,Selection!$F:$G,2,false))</f>
        <v/>
      </c>
      <c r="Q160" s="50" t="str">
        <f>IF(AND($X160="change",$H160="EUR"),IF(AND($Z160="Crédit",$N160=$N161),$Q161,IF(AND($Z160="Débit",$N160=$N159),$Q159)),IF(OR(AND(OR($E160&lt;&gt;"",$L160=""),$M160&lt;&gt;0),$A160=""),IFERROR(VLOOKUP($E160,Selection!$E:$F,2,false)),IFERROR(VLOOKUP(SUBSTITUTE($I160,"-","",1),$K161:$Q1119,7,false),VLOOKUP($K160,$K161:$Q1119,7,false))))</f>
        <v/>
      </c>
      <c r="R160" s="49" t="str">
        <f t="shared" si="2"/>
        <v/>
      </c>
      <c r="S160" s="51" t="str">
        <f t="shared" si="3"/>
        <v/>
      </c>
      <c r="T160" s="52" t="str">
        <f t="shared" si="4"/>
        <v/>
      </c>
      <c r="U160" s="46" t="str">
        <f t="shared" si="5"/>
        <v/>
      </c>
      <c r="V160" s="53" t="str">
        <f>IFERROR(__xludf.DUMMYFUNCTION(" IF(Account!$F160&lt;&gt;"""", SPLIT(Account!$F160, "" ""), """")"),"")</f>
        <v/>
      </c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</row>
    <row r="161">
      <c r="A161" s="11"/>
      <c r="B161" s="11"/>
      <c r="C161" s="11"/>
      <c r="D161" s="11"/>
      <c r="E161" s="11"/>
      <c r="F161" s="12"/>
      <c r="G161" s="11"/>
      <c r="H161" s="11"/>
      <c r="I161" s="11"/>
      <c r="J161" s="11"/>
      <c r="K161" s="11"/>
      <c r="L161" s="45" t="str">
        <f t="shared" si="1"/>
        <v/>
      </c>
      <c r="M161" s="46" t="str">
        <f>IFERROR(__xludf.DUMMYFUNCTION("IF(Account!$F161&lt;&gt;"""", VALUE(REGEXREPLACE($I161, ""\,"", ""."")), """")"),"")</f>
        <v/>
      </c>
      <c r="N161" s="47" t="str">
        <f>IF(Account!$F161&lt;&gt;"", DATEVALUE(MID($A161,4,3) &amp; LEFT($A161,3) &amp; RIGHT($A161,4)) + TIMEVALUE($B161), "")</f>
        <v/>
      </c>
      <c r="O161" s="48" t="str">
        <f>IF(Account!$F161&lt;&gt;"", DATEVALUE(MID($A161,4,3) &amp; LEFT($A161,3) &amp; RIGHT($A161,4)), "")</f>
        <v/>
      </c>
      <c r="P161" s="49" t="str">
        <f>IFERROR(VLOOKUP($Q161,Selection!$F:$G,2,false))</f>
        <v/>
      </c>
      <c r="Q161" s="50" t="str">
        <f>IF(AND($X161="change",$H161="EUR"),IF(AND($Z161="Crédit",$N161=$N162),$Q162,IF(AND($Z161="Débit",$N161=$N160),$Q160)),IF(OR(AND(OR($E161&lt;&gt;"",$L161=""),$M161&lt;&gt;0),$A161=""),IFERROR(VLOOKUP($E161,Selection!$E:$F,2,false)),IFERROR(VLOOKUP(SUBSTITUTE($I161,"-","",1),$K162:$Q1119,7,false),VLOOKUP($K161,$K162:$Q1119,7,false))))</f>
        <v/>
      </c>
      <c r="R161" s="49" t="str">
        <f t="shared" si="2"/>
        <v/>
      </c>
      <c r="S161" s="51" t="str">
        <f t="shared" si="3"/>
        <v/>
      </c>
      <c r="T161" s="52" t="str">
        <f t="shared" si="4"/>
        <v/>
      </c>
      <c r="U161" s="46" t="str">
        <f t="shared" si="5"/>
        <v/>
      </c>
      <c r="V161" s="53" t="str">
        <f>IFERROR(__xludf.DUMMYFUNCTION(" IF(Account!$F161&lt;&gt;"""", SPLIT(Account!$F161, "" ""), """")"),"")</f>
        <v/>
      </c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</row>
    <row r="162">
      <c r="A162" s="11"/>
      <c r="B162" s="11"/>
      <c r="C162" s="11"/>
      <c r="D162" s="11"/>
      <c r="E162" s="11"/>
      <c r="F162" s="12"/>
      <c r="G162" s="11"/>
      <c r="H162" s="11"/>
      <c r="I162" s="11"/>
      <c r="J162" s="11"/>
      <c r="K162" s="11"/>
      <c r="L162" s="45" t="str">
        <f t="shared" si="1"/>
        <v/>
      </c>
      <c r="M162" s="46" t="str">
        <f>IFERROR(__xludf.DUMMYFUNCTION("IF(Account!$F162&lt;&gt;"""", VALUE(REGEXREPLACE($I162, ""\,"", ""."")), """")"),"")</f>
        <v/>
      </c>
      <c r="N162" s="47" t="str">
        <f>IF(Account!$F162&lt;&gt;"", DATEVALUE(MID($A162,4,3) &amp; LEFT($A162,3) &amp; RIGHT($A162,4)) + TIMEVALUE($B162), "")</f>
        <v/>
      </c>
      <c r="O162" s="48" t="str">
        <f>IF(Account!$F162&lt;&gt;"", DATEVALUE(MID($A162,4,3) &amp; LEFT($A162,3) &amp; RIGHT($A162,4)), "")</f>
        <v/>
      </c>
      <c r="P162" s="49" t="str">
        <f>IFERROR(VLOOKUP($Q162,Selection!$F:$G,2,false))</f>
        <v/>
      </c>
      <c r="Q162" s="50" t="str">
        <f>IF(AND($X162="change",$H162="EUR"),IF(AND($Z162="Crédit",$N162=$N163),$Q163,IF(AND($Z162="Débit",$N162=$N161),$Q161)),IF(OR(AND(OR($E162&lt;&gt;"",$L162=""),$M162&lt;&gt;0),$A162=""),IFERROR(VLOOKUP($E162,Selection!$E:$F,2,false)),IFERROR(VLOOKUP(SUBSTITUTE($I162,"-","",1),$K163:$Q1119,7,false),VLOOKUP($K162,$K163:$Q1119,7,false))))</f>
        <v/>
      </c>
      <c r="R162" s="49" t="str">
        <f t="shared" si="2"/>
        <v/>
      </c>
      <c r="S162" s="51" t="str">
        <f t="shared" si="3"/>
        <v/>
      </c>
      <c r="T162" s="52" t="str">
        <f t="shared" si="4"/>
        <v/>
      </c>
      <c r="U162" s="46" t="str">
        <f t="shared" si="5"/>
        <v/>
      </c>
      <c r="V162" s="53" t="str">
        <f>IFERROR(__xludf.DUMMYFUNCTION(" IF(Account!$F162&lt;&gt;"""", SPLIT(Account!$F162, "" ""), """")"),"")</f>
        <v/>
      </c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</row>
    <row r="163">
      <c r="A163" s="11"/>
      <c r="B163" s="11"/>
      <c r="C163" s="11"/>
      <c r="D163" s="11"/>
      <c r="E163" s="11"/>
      <c r="F163" s="12"/>
      <c r="G163" s="11"/>
      <c r="H163" s="11"/>
      <c r="I163" s="11"/>
      <c r="J163" s="11"/>
      <c r="K163" s="11"/>
      <c r="L163" s="45" t="str">
        <f t="shared" si="1"/>
        <v/>
      </c>
      <c r="M163" s="46" t="str">
        <f>IFERROR(__xludf.DUMMYFUNCTION("IF(Account!$F163&lt;&gt;"""", VALUE(REGEXREPLACE($I163, ""\,"", ""."")), """")"),"")</f>
        <v/>
      </c>
      <c r="N163" s="47" t="str">
        <f>IF(Account!$F163&lt;&gt;"", DATEVALUE(MID($A163,4,3) &amp; LEFT($A163,3) &amp; RIGHT($A163,4)) + TIMEVALUE($B163), "")</f>
        <v/>
      </c>
      <c r="O163" s="48" t="str">
        <f>IF(Account!$F163&lt;&gt;"", DATEVALUE(MID($A163,4,3) &amp; LEFT($A163,3) &amp; RIGHT($A163,4)), "")</f>
        <v/>
      </c>
      <c r="P163" s="49" t="str">
        <f>IFERROR(VLOOKUP($Q163,Selection!$F:$G,2,false))</f>
        <v/>
      </c>
      <c r="Q163" s="50" t="str">
        <f>IF(AND($X163="change",$H163="EUR"),IF(AND($Z163="Crédit",$N163=$N164),$Q164,IF(AND($Z163="Débit",$N163=$N162),$Q162)),IF(OR(AND(OR($E163&lt;&gt;"",$L163=""),$M163&lt;&gt;0),$A163=""),IFERROR(VLOOKUP($E163,Selection!$E:$F,2,false)),IFERROR(VLOOKUP(SUBSTITUTE($I163,"-","",1),$K164:$Q1119,7,false),VLOOKUP($K163,$K164:$Q1119,7,false))))</f>
        <v/>
      </c>
      <c r="R163" s="49" t="str">
        <f t="shared" si="2"/>
        <v/>
      </c>
      <c r="S163" s="51" t="str">
        <f t="shared" si="3"/>
        <v/>
      </c>
      <c r="T163" s="52" t="str">
        <f t="shared" si="4"/>
        <v/>
      </c>
      <c r="U163" s="46" t="str">
        <f t="shared" si="5"/>
        <v/>
      </c>
      <c r="V163" s="53" t="str">
        <f>IFERROR(__xludf.DUMMYFUNCTION(" IF(Account!$F163&lt;&gt;"""", SPLIT(Account!$F163, "" ""), """")"),"")</f>
        <v/>
      </c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</row>
    <row r="164">
      <c r="A164" s="11"/>
      <c r="B164" s="11"/>
      <c r="C164" s="11"/>
      <c r="D164" s="11"/>
      <c r="E164" s="11"/>
      <c r="F164" s="12"/>
      <c r="G164" s="11"/>
      <c r="H164" s="11"/>
      <c r="I164" s="11"/>
      <c r="J164" s="11"/>
      <c r="K164" s="11"/>
      <c r="L164" s="45" t="str">
        <f t="shared" si="1"/>
        <v/>
      </c>
      <c r="M164" s="46" t="str">
        <f>IFERROR(__xludf.DUMMYFUNCTION("IF(Account!$F164&lt;&gt;"""", VALUE(REGEXREPLACE($I164, ""\,"", ""."")), """")"),"")</f>
        <v/>
      </c>
      <c r="N164" s="47" t="str">
        <f>IF(Account!$F164&lt;&gt;"", DATEVALUE(MID($A164,4,3) &amp; LEFT($A164,3) &amp; RIGHT($A164,4)) + TIMEVALUE($B164), "")</f>
        <v/>
      </c>
      <c r="O164" s="48" t="str">
        <f>IF(Account!$F164&lt;&gt;"", DATEVALUE(MID($A164,4,3) &amp; LEFT($A164,3) &amp; RIGHT($A164,4)), "")</f>
        <v/>
      </c>
      <c r="P164" s="49" t="str">
        <f>IFERROR(VLOOKUP($Q164,Selection!$F:$G,2,false))</f>
        <v/>
      </c>
      <c r="Q164" s="50" t="str">
        <f>IF(AND($X164="change",$H164="EUR"),IF(AND($Z164="Crédit",$N164=$N165),$Q165,IF(AND($Z164="Débit",$N164=$N163),$Q163)),IF(OR(AND(OR($E164&lt;&gt;"",$L164=""),$M164&lt;&gt;0),$A164=""),IFERROR(VLOOKUP($E164,Selection!$E:$F,2,false)),IFERROR(VLOOKUP(SUBSTITUTE($I164,"-","",1),$K165:$Q1119,7,false),VLOOKUP($K164,$K165:$Q1119,7,false))))</f>
        <v/>
      </c>
      <c r="R164" s="49" t="str">
        <f t="shared" si="2"/>
        <v/>
      </c>
      <c r="S164" s="51" t="str">
        <f t="shared" si="3"/>
        <v/>
      </c>
      <c r="T164" s="52" t="str">
        <f t="shared" si="4"/>
        <v/>
      </c>
      <c r="U164" s="46" t="str">
        <f t="shared" si="5"/>
        <v/>
      </c>
      <c r="V164" s="53" t="str">
        <f>IFERROR(__xludf.DUMMYFUNCTION(" IF(Account!$F164&lt;&gt;"""", SPLIT(Account!$F164, "" ""), """")"),"")</f>
        <v/>
      </c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</row>
    <row r="165">
      <c r="A165" s="11"/>
      <c r="B165" s="11"/>
      <c r="C165" s="11"/>
      <c r="D165" s="11"/>
      <c r="E165" s="11"/>
      <c r="F165" s="12"/>
      <c r="G165" s="215"/>
      <c r="H165" s="11"/>
      <c r="I165" s="11"/>
      <c r="J165" s="11"/>
      <c r="K165" s="11"/>
      <c r="L165" s="45" t="str">
        <f t="shared" si="1"/>
        <v/>
      </c>
      <c r="M165" s="46" t="str">
        <f>IFERROR(__xludf.DUMMYFUNCTION("IF(Account!$F165&lt;&gt;"""", VALUE(REGEXREPLACE($I165, ""\,"", ""."")), """")"),"")</f>
        <v/>
      </c>
      <c r="N165" s="47" t="str">
        <f>IF(Account!$F165&lt;&gt;"", DATEVALUE(MID($A165,4,3) &amp; LEFT($A165,3) &amp; RIGHT($A165,4)) + TIMEVALUE($B165), "")</f>
        <v/>
      </c>
      <c r="O165" s="48" t="str">
        <f>IF(Account!$F165&lt;&gt;"", DATEVALUE(MID($A165,4,3) &amp; LEFT($A165,3) &amp; RIGHT($A165,4)), "")</f>
        <v/>
      </c>
      <c r="P165" s="49" t="str">
        <f>IFERROR(VLOOKUP($Q165,Selection!$F:$G,2,false))</f>
        <v/>
      </c>
      <c r="Q165" s="50" t="str">
        <f>IF(AND($X165="change",$H165="EUR"),IF(AND($Z165="Crédit",$N165=$N166),$Q166,IF(AND($Z165="Débit",$N165=$N164),$Q164)),IF(OR(AND(OR($E165&lt;&gt;"",$L165=""),$M165&lt;&gt;0),$A165=""),IFERROR(VLOOKUP($E165,Selection!$E:$F,2,false)),IFERROR(VLOOKUP(SUBSTITUTE($I165,"-","",1),$K166:$Q1119,7,false),VLOOKUP($K165,$K166:$Q1119,7,false))))</f>
        <v/>
      </c>
      <c r="R165" s="49" t="str">
        <f t="shared" si="2"/>
        <v/>
      </c>
      <c r="S165" s="51" t="str">
        <f t="shared" si="3"/>
        <v/>
      </c>
      <c r="T165" s="52" t="str">
        <f t="shared" si="4"/>
        <v/>
      </c>
      <c r="U165" s="46" t="str">
        <f t="shared" si="5"/>
        <v/>
      </c>
      <c r="V165" s="53" t="str">
        <f>IFERROR(__xludf.DUMMYFUNCTION(" IF(Account!$F165&lt;&gt;"""", SPLIT(Account!$F165, "" ""), """")"),"")</f>
        <v/>
      </c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</row>
    <row r="166">
      <c r="A166" s="11"/>
      <c r="B166" s="11"/>
      <c r="C166" s="11"/>
      <c r="D166" s="11"/>
      <c r="E166" s="11"/>
      <c r="F166" s="12"/>
      <c r="G166" s="11"/>
      <c r="H166" s="11"/>
      <c r="I166" s="11"/>
      <c r="J166" s="11"/>
      <c r="K166" s="11"/>
      <c r="L166" s="45" t="str">
        <f t="shared" si="1"/>
        <v/>
      </c>
      <c r="M166" s="46" t="str">
        <f>IFERROR(__xludf.DUMMYFUNCTION("IF(Account!$F166&lt;&gt;"""", VALUE(REGEXREPLACE($I166, ""\,"", ""."")), """")"),"")</f>
        <v/>
      </c>
      <c r="N166" s="47" t="str">
        <f>IF(Account!$F166&lt;&gt;"", DATEVALUE(MID($A166,4,3) &amp; LEFT($A166,3) &amp; RIGHT($A166,4)) + TIMEVALUE($B166), "")</f>
        <v/>
      </c>
      <c r="O166" s="48" t="str">
        <f>IF(Account!$F166&lt;&gt;"", DATEVALUE(MID($A166,4,3) &amp; LEFT($A166,3) &amp; RIGHT($A166,4)), "")</f>
        <v/>
      </c>
      <c r="P166" s="49" t="str">
        <f>IFERROR(VLOOKUP($Q166,Selection!$F:$G,2,false))</f>
        <v/>
      </c>
      <c r="Q166" s="50" t="str">
        <f>IF(AND($X166="change",$H166="EUR"),IF(AND($Z166="Crédit",$N166=$N167),$Q167,IF(AND($Z166="Débit",$N166=$N165),$Q165)),IF(OR(AND(OR($E166&lt;&gt;"",$L166=""),$M166&lt;&gt;0),$A166=""),IFERROR(VLOOKUP($E166,Selection!$E:$F,2,false)),IFERROR(VLOOKUP(SUBSTITUTE($I166,"-","",1),$K167:$Q1119,7,false),VLOOKUP($K166,$K167:$Q1119,7,false))))</f>
        <v/>
      </c>
      <c r="R166" s="49" t="str">
        <f t="shared" si="2"/>
        <v/>
      </c>
      <c r="S166" s="51" t="str">
        <f t="shared" si="3"/>
        <v/>
      </c>
      <c r="T166" s="52" t="str">
        <f t="shared" si="4"/>
        <v/>
      </c>
      <c r="U166" s="46" t="str">
        <f t="shared" si="5"/>
        <v/>
      </c>
      <c r="V166" s="53" t="str">
        <f>IFERROR(__xludf.DUMMYFUNCTION(" IF(Account!$F166&lt;&gt;"""", SPLIT(Account!$F166, "" ""), """")"),"")</f>
        <v/>
      </c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</row>
    <row r="167">
      <c r="A167" s="11"/>
      <c r="B167" s="11"/>
      <c r="C167" s="11"/>
      <c r="D167" s="11"/>
      <c r="E167" s="11"/>
      <c r="F167" s="12"/>
      <c r="G167" s="215"/>
      <c r="H167" s="11"/>
      <c r="I167" s="11"/>
      <c r="J167" s="11"/>
      <c r="K167" s="11"/>
      <c r="L167" s="45" t="str">
        <f t="shared" si="1"/>
        <v/>
      </c>
      <c r="M167" s="46" t="str">
        <f>IFERROR(__xludf.DUMMYFUNCTION("IF(Account!$F167&lt;&gt;"""", VALUE(REGEXREPLACE($I167, ""\,"", ""."")), """")"),"")</f>
        <v/>
      </c>
      <c r="N167" s="47" t="str">
        <f>IF(Account!$F167&lt;&gt;"", DATEVALUE(MID($A167,4,3) &amp; LEFT($A167,3) &amp; RIGHT($A167,4)) + TIMEVALUE($B167), "")</f>
        <v/>
      </c>
      <c r="O167" s="48" t="str">
        <f>IF(Account!$F167&lt;&gt;"", DATEVALUE(MID($A167,4,3) &amp; LEFT($A167,3) &amp; RIGHT($A167,4)), "")</f>
        <v/>
      </c>
      <c r="P167" s="49" t="str">
        <f>IFERROR(VLOOKUP($Q167,Selection!$F:$G,2,false))</f>
        <v/>
      </c>
      <c r="Q167" s="50" t="str">
        <f>IF(AND($X167="change",$H167="EUR"),IF(AND($Z167="Crédit",$N167=$N168),$Q168,IF(AND($Z167="Débit",$N167=$N166),$Q166)),IF(OR(AND(OR($E167&lt;&gt;"",$L167=""),$M167&lt;&gt;0),$A167=""),IFERROR(VLOOKUP($E167,Selection!$E:$F,2,false)),IFERROR(VLOOKUP(SUBSTITUTE($I167,"-","",1),$K168:$Q1119,7,false),VLOOKUP($K167,$K168:$Q1119,7,false))))</f>
        <v/>
      </c>
      <c r="R167" s="49" t="str">
        <f t="shared" si="2"/>
        <v/>
      </c>
      <c r="S167" s="51" t="str">
        <f t="shared" si="3"/>
        <v/>
      </c>
      <c r="T167" s="52" t="str">
        <f t="shared" si="4"/>
        <v/>
      </c>
      <c r="U167" s="46" t="str">
        <f t="shared" si="5"/>
        <v/>
      </c>
      <c r="V167" s="53" t="str">
        <f>IFERROR(__xludf.DUMMYFUNCTION(" IF(Account!$F167&lt;&gt;"""", SPLIT(Account!$F167, "" ""), """")"),"")</f>
        <v/>
      </c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</row>
    <row r="168">
      <c r="A168" s="11"/>
      <c r="B168" s="11"/>
      <c r="C168" s="11"/>
      <c r="D168" s="11"/>
      <c r="E168" s="11"/>
      <c r="F168" s="12"/>
      <c r="G168" s="11"/>
      <c r="H168" s="11"/>
      <c r="I168" s="11"/>
      <c r="J168" s="11"/>
      <c r="K168" s="11"/>
      <c r="L168" s="45" t="str">
        <f t="shared" si="1"/>
        <v/>
      </c>
      <c r="M168" s="46" t="str">
        <f>IFERROR(__xludf.DUMMYFUNCTION("IF(Account!$F168&lt;&gt;"""", VALUE(REGEXREPLACE($I168, ""\,"", ""."")), """")"),"")</f>
        <v/>
      </c>
      <c r="N168" s="47" t="str">
        <f>IF(Account!$F168&lt;&gt;"", DATEVALUE(MID($A168,4,3) &amp; LEFT($A168,3) &amp; RIGHT($A168,4)) + TIMEVALUE($B168), "")</f>
        <v/>
      </c>
      <c r="O168" s="48" t="str">
        <f>IF(Account!$F168&lt;&gt;"", DATEVALUE(MID($A168,4,3) &amp; LEFT($A168,3) &amp; RIGHT($A168,4)), "")</f>
        <v/>
      </c>
      <c r="P168" s="49" t="str">
        <f>IFERROR(VLOOKUP($Q168,Selection!$F:$G,2,false))</f>
        <v/>
      </c>
      <c r="Q168" s="50" t="str">
        <f>IF(AND($X168="change",$H168="EUR"),IF(AND($Z168="Crédit",$N168=$N169),$Q169,IF(AND($Z168="Débit",$N168=$N167),$Q167)),IF(OR(AND(OR($E168&lt;&gt;"",$L168=""),$M168&lt;&gt;0),$A168=""),IFERROR(VLOOKUP($E168,Selection!$E:$F,2,false)),IFERROR(VLOOKUP(SUBSTITUTE($I168,"-","",1),$K169:$Q1119,7,false),VLOOKUP($K168,$K169:$Q1119,7,false))))</f>
        <v/>
      </c>
      <c r="R168" s="49" t="str">
        <f t="shared" si="2"/>
        <v/>
      </c>
      <c r="S168" s="51" t="str">
        <f t="shared" si="3"/>
        <v/>
      </c>
      <c r="T168" s="52" t="str">
        <f t="shared" si="4"/>
        <v/>
      </c>
      <c r="U168" s="46" t="str">
        <f t="shared" si="5"/>
        <v/>
      </c>
      <c r="V168" s="53" t="str">
        <f>IFERROR(__xludf.DUMMYFUNCTION(" IF(Account!$F168&lt;&gt;"""", SPLIT(Account!$F168, "" ""), """")"),"")</f>
        <v/>
      </c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</row>
    <row r="169">
      <c r="A169" s="11"/>
      <c r="B169" s="11"/>
      <c r="C169" s="11"/>
      <c r="D169" s="11"/>
      <c r="E169" s="11"/>
      <c r="F169" s="12"/>
      <c r="G169" s="11"/>
      <c r="H169" s="11"/>
      <c r="I169" s="11"/>
      <c r="J169" s="11"/>
      <c r="K169" s="11"/>
      <c r="L169" s="45" t="str">
        <f t="shared" si="1"/>
        <v/>
      </c>
      <c r="M169" s="46" t="str">
        <f>IFERROR(__xludf.DUMMYFUNCTION("IF(Account!$F169&lt;&gt;"""", VALUE(REGEXREPLACE($I169, ""\,"", ""."")), """")"),"")</f>
        <v/>
      </c>
      <c r="N169" s="47" t="str">
        <f>IF(Account!$F169&lt;&gt;"", DATEVALUE(MID($A169,4,3) &amp; LEFT($A169,3) &amp; RIGHT($A169,4)) + TIMEVALUE($B169), "")</f>
        <v/>
      </c>
      <c r="O169" s="48" t="str">
        <f>IF(Account!$F169&lt;&gt;"", DATEVALUE(MID($A169,4,3) &amp; LEFT($A169,3) &amp; RIGHT($A169,4)), "")</f>
        <v/>
      </c>
      <c r="P169" s="49" t="str">
        <f>IFERROR(VLOOKUP($Q169,Selection!$F:$G,2,false))</f>
        <v/>
      </c>
      <c r="Q169" s="50" t="str">
        <f>IF(AND($X169="change",$H169="EUR"),IF(AND($Z169="Crédit",$N169=$N170),$Q170,IF(AND($Z169="Débit",$N169=$N168),$Q168)),IF(OR(AND(OR($E169&lt;&gt;"",$L169=""),$M169&lt;&gt;0),$A169=""),IFERROR(VLOOKUP($E169,Selection!$E:$F,2,false)),IFERROR(VLOOKUP(SUBSTITUTE($I169,"-","",1),$K170:$Q1119,7,false),VLOOKUP($K169,$K170:$Q1119,7,false))))</f>
        <v/>
      </c>
      <c r="R169" s="49" t="str">
        <f t="shared" si="2"/>
        <v/>
      </c>
      <c r="S169" s="51" t="str">
        <f t="shared" si="3"/>
        <v/>
      </c>
      <c r="T169" s="52" t="str">
        <f t="shared" si="4"/>
        <v/>
      </c>
      <c r="U169" s="46" t="str">
        <f t="shared" si="5"/>
        <v/>
      </c>
      <c r="V169" s="53" t="str">
        <f>IFERROR(__xludf.DUMMYFUNCTION(" IF(Account!$F169&lt;&gt;"""", SPLIT(Account!$F169, "" ""), """")"),"")</f>
        <v/>
      </c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</row>
    <row r="170">
      <c r="A170" s="11"/>
      <c r="B170" s="11"/>
      <c r="C170" s="11"/>
      <c r="D170" s="11"/>
      <c r="E170" s="11"/>
      <c r="F170" s="12"/>
      <c r="G170" s="11"/>
      <c r="H170" s="11"/>
      <c r="I170" s="11"/>
      <c r="J170" s="11"/>
      <c r="K170" s="11"/>
      <c r="L170" s="45" t="str">
        <f t="shared" si="1"/>
        <v/>
      </c>
      <c r="M170" s="46" t="str">
        <f>IFERROR(__xludf.DUMMYFUNCTION("IF(Account!$F170&lt;&gt;"""", VALUE(REGEXREPLACE($I170, ""\,"", ""."")), """")"),"")</f>
        <v/>
      </c>
      <c r="N170" s="47" t="str">
        <f>IF(Account!$F170&lt;&gt;"", DATEVALUE(MID($A170,4,3) &amp; LEFT($A170,3) &amp; RIGHT($A170,4)) + TIMEVALUE($B170), "")</f>
        <v/>
      </c>
      <c r="O170" s="48" t="str">
        <f>IF(Account!$F170&lt;&gt;"", DATEVALUE(MID($A170,4,3) &amp; LEFT($A170,3) &amp; RIGHT($A170,4)), "")</f>
        <v/>
      </c>
      <c r="P170" s="49" t="str">
        <f>IFERROR(VLOOKUP($Q170,Selection!$F:$G,2,false))</f>
        <v/>
      </c>
      <c r="Q170" s="50" t="str">
        <f>IF(AND($X170="change",$H170="EUR"),IF(AND($Z170="Crédit",$N170=$N171),$Q171,IF(AND($Z170="Débit",$N170=$N169),$Q169)),IF(OR(AND(OR($E170&lt;&gt;"",$L170=""),$M170&lt;&gt;0),$A170=""),IFERROR(VLOOKUP($E170,Selection!$E:$F,2,false)),IFERROR(VLOOKUP(SUBSTITUTE($I170,"-","",1),$K171:$Q1119,7,false),VLOOKUP($K170,$K171:$Q1119,7,false))))</f>
        <v/>
      </c>
      <c r="R170" s="49" t="str">
        <f t="shared" si="2"/>
        <v/>
      </c>
      <c r="S170" s="51" t="str">
        <f t="shared" si="3"/>
        <v/>
      </c>
      <c r="T170" s="52" t="str">
        <f t="shared" si="4"/>
        <v/>
      </c>
      <c r="U170" s="46" t="str">
        <f t="shared" si="5"/>
        <v/>
      </c>
      <c r="V170" s="53" t="str">
        <f>IFERROR(__xludf.DUMMYFUNCTION(" IF(Account!$F170&lt;&gt;"""", SPLIT(Account!$F170, "" ""), """")"),"")</f>
        <v/>
      </c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</row>
    <row r="171">
      <c r="A171" s="11"/>
      <c r="B171" s="11"/>
      <c r="C171" s="11"/>
      <c r="D171" s="11"/>
      <c r="E171" s="11"/>
      <c r="F171" s="12"/>
      <c r="G171" s="215"/>
      <c r="H171" s="11"/>
      <c r="I171" s="11"/>
      <c r="J171" s="11"/>
      <c r="K171" s="11"/>
      <c r="L171" s="45" t="str">
        <f t="shared" si="1"/>
        <v/>
      </c>
      <c r="M171" s="46" t="str">
        <f>IFERROR(__xludf.DUMMYFUNCTION("IF(Account!$F171&lt;&gt;"""", VALUE(REGEXREPLACE($I171, ""\,"", ""."")), """")"),"")</f>
        <v/>
      </c>
      <c r="N171" s="47" t="str">
        <f>IF(Account!$F171&lt;&gt;"", DATEVALUE(MID($A171,4,3) &amp; LEFT($A171,3) &amp; RIGHT($A171,4)) + TIMEVALUE($B171), "")</f>
        <v/>
      </c>
      <c r="O171" s="48" t="str">
        <f>IF(Account!$F171&lt;&gt;"", DATEVALUE(MID($A171,4,3) &amp; LEFT($A171,3) &amp; RIGHT($A171,4)), "")</f>
        <v/>
      </c>
      <c r="P171" s="49" t="str">
        <f>IFERROR(VLOOKUP($Q171,Selection!$F:$G,2,false))</f>
        <v/>
      </c>
      <c r="Q171" s="50" t="str">
        <f>IF(AND($X171="change",$H171="EUR"),IF(AND($Z171="Crédit",$N171=$N172),$Q172,IF(AND($Z171="Débit",$N171=$N170),$Q170)),IF(OR(AND(OR($E171&lt;&gt;"",$L171=""),$M171&lt;&gt;0),$A171=""),IFERROR(VLOOKUP($E171,Selection!$E:$F,2,false)),IFERROR(VLOOKUP(SUBSTITUTE($I171,"-","",1),$K172:$Q1119,7,false),VLOOKUP($K171,$K172:$Q1119,7,false))))</f>
        <v/>
      </c>
      <c r="R171" s="49" t="str">
        <f t="shared" si="2"/>
        <v/>
      </c>
      <c r="S171" s="51" t="str">
        <f t="shared" si="3"/>
        <v/>
      </c>
      <c r="T171" s="52" t="str">
        <f t="shared" si="4"/>
        <v/>
      </c>
      <c r="U171" s="46" t="str">
        <f t="shared" si="5"/>
        <v/>
      </c>
      <c r="V171" s="53" t="str">
        <f>IFERROR(__xludf.DUMMYFUNCTION(" IF(Account!$F171&lt;&gt;"""", SPLIT(Account!$F171, "" ""), """")"),"")</f>
        <v/>
      </c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</row>
    <row r="172">
      <c r="A172" s="11"/>
      <c r="B172" s="11"/>
      <c r="C172" s="11"/>
      <c r="D172" s="11"/>
      <c r="E172" s="11"/>
      <c r="F172" s="12"/>
      <c r="G172" s="11"/>
      <c r="H172" s="11"/>
      <c r="I172" s="11"/>
      <c r="J172" s="11"/>
      <c r="K172" s="11"/>
      <c r="L172" s="45" t="str">
        <f t="shared" si="1"/>
        <v/>
      </c>
      <c r="M172" s="46" t="str">
        <f>IFERROR(__xludf.DUMMYFUNCTION("IF(Account!$F172&lt;&gt;"""", VALUE(REGEXREPLACE($I172, ""\,"", ""."")), """")"),"")</f>
        <v/>
      </c>
      <c r="N172" s="47" t="str">
        <f>IF(Account!$F172&lt;&gt;"", DATEVALUE(MID($A172,4,3) &amp; LEFT($A172,3) &amp; RIGHT($A172,4)) + TIMEVALUE($B172), "")</f>
        <v/>
      </c>
      <c r="O172" s="48" t="str">
        <f>IF(Account!$F172&lt;&gt;"", DATEVALUE(MID($A172,4,3) &amp; LEFT($A172,3) &amp; RIGHT($A172,4)), "")</f>
        <v/>
      </c>
      <c r="P172" s="49" t="str">
        <f>IFERROR(VLOOKUP($Q172,Selection!$F:$G,2,false))</f>
        <v/>
      </c>
      <c r="Q172" s="50" t="str">
        <f>IF(AND($X172="change",$H172="EUR"),IF(AND($Z172="Crédit",$N172=$N173),$Q173,IF(AND($Z172="Débit",$N172=$N171),$Q171)),IF(OR(AND(OR($E172&lt;&gt;"",$L172=""),$M172&lt;&gt;0),$A172=""),IFERROR(VLOOKUP($E172,Selection!$E:$F,2,false)),IFERROR(VLOOKUP(SUBSTITUTE($I172,"-","",1),$K173:$Q1119,7,false),VLOOKUP($K172,$K173:$Q1119,7,false))))</f>
        <v/>
      </c>
      <c r="R172" s="49" t="str">
        <f t="shared" si="2"/>
        <v/>
      </c>
      <c r="S172" s="51" t="str">
        <f t="shared" si="3"/>
        <v/>
      </c>
      <c r="T172" s="52" t="str">
        <f t="shared" si="4"/>
        <v/>
      </c>
      <c r="U172" s="46" t="str">
        <f t="shared" si="5"/>
        <v/>
      </c>
      <c r="V172" s="53" t="str">
        <f>IFERROR(__xludf.DUMMYFUNCTION(" IF(Account!$F172&lt;&gt;"""", SPLIT(Account!$F172, "" ""), """")"),"")</f>
        <v/>
      </c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</row>
    <row r="173">
      <c r="A173" s="11"/>
      <c r="B173" s="11"/>
      <c r="C173" s="11"/>
      <c r="D173" s="11"/>
      <c r="E173" s="11"/>
      <c r="F173" s="12"/>
      <c r="G173" s="11"/>
      <c r="H173" s="11"/>
      <c r="I173" s="11"/>
      <c r="J173" s="11"/>
      <c r="K173" s="11"/>
      <c r="L173" s="45" t="str">
        <f t="shared" si="1"/>
        <v/>
      </c>
      <c r="M173" s="46" t="str">
        <f>IFERROR(__xludf.DUMMYFUNCTION("IF(Account!$F173&lt;&gt;"""", VALUE(REGEXREPLACE($I173, ""\,"", ""."")), """")"),"")</f>
        <v/>
      </c>
      <c r="N173" s="47" t="str">
        <f>IF(Account!$F173&lt;&gt;"", DATEVALUE(MID($A173,4,3) &amp; LEFT($A173,3) &amp; RIGHT($A173,4)) + TIMEVALUE($B173), "")</f>
        <v/>
      </c>
      <c r="O173" s="48" t="str">
        <f>IF(Account!$F173&lt;&gt;"", DATEVALUE(MID($A173,4,3) &amp; LEFT($A173,3) &amp; RIGHT($A173,4)), "")</f>
        <v/>
      </c>
      <c r="P173" s="49" t="str">
        <f>IFERROR(VLOOKUP($Q173,Selection!$F:$G,2,false))</f>
        <v/>
      </c>
      <c r="Q173" s="50" t="str">
        <f>IF(AND($X173="change",$H173="EUR"),IF(AND($Z173="Crédit",$N173=$N174),$Q174,IF(AND($Z173="Débit",$N173=$N172),$Q172)),IF(OR(AND(OR($E173&lt;&gt;"",$L173=""),$M173&lt;&gt;0),$A173=""),IFERROR(VLOOKUP($E173,Selection!$E:$F,2,false)),IFERROR(VLOOKUP(SUBSTITUTE($I173,"-","",1),$K174:$Q1119,7,false),VLOOKUP($K173,$K174:$Q1119,7,false))))</f>
        <v/>
      </c>
      <c r="R173" s="49" t="str">
        <f t="shared" si="2"/>
        <v/>
      </c>
      <c r="S173" s="51" t="str">
        <f t="shared" si="3"/>
        <v/>
      </c>
      <c r="T173" s="52" t="str">
        <f t="shared" si="4"/>
        <v/>
      </c>
      <c r="U173" s="46" t="str">
        <f t="shared" si="5"/>
        <v/>
      </c>
      <c r="V173" s="53" t="str">
        <f>IFERROR(__xludf.DUMMYFUNCTION(" IF(Account!$F173&lt;&gt;"""", SPLIT(Account!$F173, "" ""), """")"),"")</f>
        <v/>
      </c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</row>
    <row r="174">
      <c r="A174" s="11"/>
      <c r="B174" s="11"/>
      <c r="C174" s="11"/>
      <c r="D174" s="11"/>
      <c r="E174" s="11"/>
      <c r="F174" s="12"/>
      <c r="G174" s="11"/>
      <c r="H174" s="11"/>
      <c r="I174" s="11"/>
      <c r="J174" s="11"/>
      <c r="K174" s="11"/>
      <c r="L174" s="45" t="str">
        <f t="shared" si="1"/>
        <v/>
      </c>
      <c r="M174" s="46" t="str">
        <f>IFERROR(__xludf.DUMMYFUNCTION("IF(Account!$F174&lt;&gt;"""", VALUE(REGEXREPLACE($I174, ""\,"", ""."")), """")"),"")</f>
        <v/>
      </c>
      <c r="N174" s="47" t="str">
        <f>IF(Account!$F174&lt;&gt;"", DATEVALUE(MID($A174,4,3) &amp; LEFT($A174,3) &amp; RIGHT($A174,4)) + TIMEVALUE($B174), "")</f>
        <v/>
      </c>
      <c r="O174" s="48" t="str">
        <f>IF(Account!$F174&lt;&gt;"", DATEVALUE(MID($A174,4,3) &amp; LEFT($A174,3) &amp; RIGHT($A174,4)), "")</f>
        <v/>
      </c>
      <c r="P174" s="49" t="str">
        <f>IFERROR(VLOOKUP($Q174,Selection!$F:$G,2,false))</f>
        <v/>
      </c>
      <c r="Q174" s="50" t="str">
        <f>IF(AND($X174="change",$H174="EUR"),IF(AND($Z174="Crédit",$N174=$N175),$Q175,IF(AND($Z174="Débit",$N174=$N173),$Q173)),IF(OR(AND(OR($E174&lt;&gt;"",$L174=""),$M174&lt;&gt;0),$A174=""),IFERROR(VLOOKUP($E174,Selection!$E:$F,2,false)),IFERROR(VLOOKUP(SUBSTITUTE($I174,"-","",1),$K175:$Q1119,7,false),VLOOKUP($K174,$K175:$Q1119,7,false))))</f>
        <v/>
      </c>
      <c r="R174" s="49" t="str">
        <f t="shared" si="2"/>
        <v/>
      </c>
      <c r="S174" s="51" t="str">
        <f t="shared" si="3"/>
        <v/>
      </c>
      <c r="T174" s="52" t="str">
        <f t="shared" si="4"/>
        <v/>
      </c>
      <c r="U174" s="46" t="str">
        <f t="shared" si="5"/>
        <v/>
      </c>
      <c r="V174" s="53" t="str">
        <f>IFERROR(__xludf.DUMMYFUNCTION(" IF(Account!$F174&lt;&gt;"""", SPLIT(Account!$F174, "" ""), """")"),"")</f>
        <v/>
      </c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</row>
    <row r="175">
      <c r="A175" s="11"/>
      <c r="B175" s="11"/>
      <c r="C175" s="11"/>
      <c r="D175" s="11"/>
      <c r="E175" s="11"/>
      <c r="F175" s="12"/>
      <c r="G175" s="11"/>
      <c r="H175" s="11"/>
      <c r="I175" s="11"/>
      <c r="J175" s="11"/>
      <c r="K175" s="11"/>
      <c r="L175" s="45" t="str">
        <f t="shared" si="1"/>
        <v/>
      </c>
      <c r="M175" s="46" t="str">
        <f>IFERROR(__xludf.DUMMYFUNCTION("IF(Account!$F175&lt;&gt;"""", VALUE(REGEXREPLACE($I175, ""\,"", ""."")), """")"),"")</f>
        <v/>
      </c>
      <c r="N175" s="47" t="str">
        <f>IF(Account!$F175&lt;&gt;"", DATEVALUE(MID($A175,4,3) &amp; LEFT($A175,3) &amp; RIGHT($A175,4)) + TIMEVALUE($B175), "")</f>
        <v/>
      </c>
      <c r="O175" s="48" t="str">
        <f>IF(Account!$F175&lt;&gt;"", DATEVALUE(MID($A175,4,3) &amp; LEFT($A175,3) &amp; RIGHT($A175,4)), "")</f>
        <v/>
      </c>
      <c r="P175" s="49" t="str">
        <f>IFERROR(VLOOKUP($Q175,Selection!$F:$G,2,false))</f>
        <v/>
      </c>
      <c r="Q175" s="50" t="str">
        <f>IF(AND($X175="change",$H175="EUR"),IF(AND($Z175="Crédit",$N175=$N176),$Q176,IF(AND($Z175="Débit",$N175=$N174),$Q174)),IF(OR(AND(OR($E175&lt;&gt;"",$L175=""),$M175&lt;&gt;0),$A175=""),IFERROR(VLOOKUP($E175,Selection!$E:$F,2,false)),IFERROR(VLOOKUP(SUBSTITUTE($I175,"-","",1),$K176:$Q1119,7,false),VLOOKUP($K175,$K176:$Q1119,7,false))))</f>
        <v/>
      </c>
      <c r="R175" s="49" t="str">
        <f t="shared" si="2"/>
        <v/>
      </c>
      <c r="S175" s="51" t="str">
        <f t="shared" si="3"/>
        <v/>
      </c>
      <c r="T175" s="52" t="str">
        <f t="shared" si="4"/>
        <v/>
      </c>
      <c r="U175" s="46" t="str">
        <f t="shared" si="5"/>
        <v/>
      </c>
      <c r="V175" s="53" t="str">
        <f>IFERROR(__xludf.DUMMYFUNCTION(" IF(Account!$F175&lt;&gt;"""", SPLIT(Account!$F175, "" ""), """")"),"")</f>
        <v/>
      </c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</row>
    <row r="176">
      <c r="A176" s="11"/>
      <c r="B176" s="11"/>
      <c r="C176" s="11"/>
      <c r="D176" s="11"/>
      <c r="E176" s="11"/>
      <c r="F176" s="12"/>
      <c r="G176" s="11"/>
      <c r="H176" s="11"/>
      <c r="I176" s="11"/>
      <c r="J176" s="11"/>
      <c r="K176" s="11"/>
      <c r="L176" s="45" t="str">
        <f t="shared" si="1"/>
        <v/>
      </c>
      <c r="M176" s="46" t="str">
        <f>IFERROR(__xludf.DUMMYFUNCTION("IF(Account!$F176&lt;&gt;"""", VALUE(REGEXREPLACE($I176, ""\,"", ""."")), """")"),"")</f>
        <v/>
      </c>
      <c r="N176" s="47" t="str">
        <f>IF(Account!$F176&lt;&gt;"", DATEVALUE(MID($A176,4,3) &amp; LEFT($A176,3) &amp; RIGHT($A176,4)) + TIMEVALUE($B176), "")</f>
        <v/>
      </c>
      <c r="O176" s="48" t="str">
        <f>IF(Account!$F176&lt;&gt;"", DATEVALUE(MID($A176,4,3) &amp; LEFT($A176,3) &amp; RIGHT($A176,4)), "")</f>
        <v/>
      </c>
      <c r="P176" s="49" t="str">
        <f>IFERROR(VLOOKUP($Q176,Selection!$F:$G,2,false))</f>
        <v/>
      </c>
      <c r="Q176" s="50" t="str">
        <f>IF(AND($X176="change",$H176="EUR"),IF(AND($Z176="Crédit",$N176=$N177),$Q177,IF(AND($Z176="Débit",$N176=$N175),$Q175)),IF(OR(AND(OR($E176&lt;&gt;"",$L176=""),$M176&lt;&gt;0),$A176=""),IFERROR(VLOOKUP($E176,Selection!$E:$F,2,false)),IFERROR(VLOOKUP(SUBSTITUTE($I176,"-","",1),$K177:$Q1119,7,false),VLOOKUP($K176,$K177:$Q1119,7,false))))</f>
        <v/>
      </c>
      <c r="R176" s="49" t="str">
        <f t="shared" si="2"/>
        <v/>
      </c>
      <c r="S176" s="51" t="str">
        <f t="shared" si="3"/>
        <v/>
      </c>
      <c r="T176" s="52" t="str">
        <f t="shared" si="4"/>
        <v/>
      </c>
      <c r="U176" s="46" t="str">
        <f t="shared" si="5"/>
        <v/>
      </c>
      <c r="V176" s="53" t="str">
        <f>IFERROR(__xludf.DUMMYFUNCTION(" IF(Account!$F176&lt;&gt;"""", SPLIT(Account!$F176, "" ""), """")"),"")</f>
        <v/>
      </c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</row>
    <row r="177">
      <c r="A177" s="11"/>
      <c r="B177" s="11"/>
      <c r="C177" s="11"/>
      <c r="D177" s="11"/>
      <c r="E177" s="11"/>
      <c r="F177" s="12"/>
      <c r="G177" s="215"/>
      <c r="H177" s="11"/>
      <c r="I177" s="11"/>
      <c r="J177" s="11"/>
      <c r="K177" s="11"/>
      <c r="L177" s="45" t="str">
        <f t="shared" si="1"/>
        <v/>
      </c>
      <c r="M177" s="46" t="str">
        <f>IFERROR(__xludf.DUMMYFUNCTION("IF(Account!$F177&lt;&gt;"""", VALUE(REGEXREPLACE($I177, ""\,"", ""."")), """")"),"")</f>
        <v/>
      </c>
      <c r="N177" s="47" t="str">
        <f>IF(Account!$F177&lt;&gt;"", DATEVALUE(MID($A177,4,3) &amp; LEFT($A177,3) &amp; RIGHT($A177,4)) + TIMEVALUE($B177), "")</f>
        <v/>
      </c>
      <c r="O177" s="48" t="str">
        <f>IF(Account!$F177&lt;&gt;"", DATEVALUE(MID($A177,4,3) &amp; LEFT($A177,3) &amp; RIGHT($A177,4)), "")</f>
        <v/>
      </c>
      <c r="P177" s="49" t="str">
        <f>IFERROR(VLOOKUP($Q177,Selection!$F:$G,2,false))</f>
        <v/>
      </c>
      <c r="Q177" s="50" t="str">
        <f>IF(AND($X177="change",$H177="EUR"),IF(AND($Z177="Crédit",$N177=$N178),$Q178,IF(AND($Z177="Débit",$N177=$N176),$Q176)),IF(OR(AND(OR($E177&lt;&gt;"",$L177=""),$M177&lt;&gt;0),$A177=""),IFERROR(VLOOKUP($E177,Selection!$E:$F,2,false)),IFERROR(VLOOKUP(SUBSTITUTE($I177,"-","",1),$K178:$Q1119,7,false),VLOOKUP($K177,$K178:$Q1119,7,false))))</f>
        <v/>
      </c>
      <c r="R177" s="49" t="str">
        <f t="shared" si="2"/>
        <v/>
      </c>
      <c r="S177" s="51" t="str">
        <f t="shared" si="3"/>
        <v/>
      </c>
      <c r="T177" s="52" t="str">
        <f t="shared" si="4"/>
        <v/>
      </c>
      <c r="U177" s="46" t="str">
        <f t="shared" si="5"/>
        <v/>
      </c>
      <c r="V177" s="53" t="str">
        <f>IFERROR(__xludf.DUMMYFUNCTION(" IF(Account!$F177&lt;&gt;"""", SPLIT(Account!$F177, "" ""), """")"),"")</f>
        <v/>
      </c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</row>
    <row r="178">
      <c r="A178" s="11"/>
      <c r="B178" s="11"/>
      <c r="C178" s="11"/>
      <c r="D178" s="11"/>
      <c r="E178" s="11"/>
      <c r="F178" s="12"/>
      <c r="G178" s="11"/>
      <c r="H178" s="11"/>
      <c r="I178" s="11"/>
      <c r="J178" s="11"/>
      <c r="K178" s="11"/>
      <c r="L178" s="45" t="str">
        <f t="shared" si="1"/>
        <v/>
      </c>
      <c r="M178" s="46" t="str">
        <f>IFERROR(__xludf.DUMMYFUNCTION("IF(Account!$F178&lt;&gt;"""", VALUE(REGEXREPLACE($I178, ""\,"", ""."")), """")"),"")</f>
        <v/>
      </c>
      <c r="N178" s="47" t="str">
        <f>IF(Account!$F178&lt;&gt;"", DATEVALUE(MID($A178,4,3) &amp; LEFT($A178,3) &amp; RIGHT($A178,4)) + TIMEVALUE($B178), "")</f>
        <v/>
      </c>
      <c r="O178" s="48" t="str">
        <f>IF(Account!$F178&lt;&gt;"", DATEVALUE(MID($A178,4,3) &amp; LEFT($A178,3) &amp; RIGHT($A178,4)), "")</f>
        <v/>
      </c>
      <c r="P178" s="49" t="str">
        <f>IFERROR(VLOOKUP($Q178,Selection!$F:$G,2,false))</f>
        <v/>
      </c>
      <c r="Q178" s="50" t="str">
        <f>IF(AND($X178="change",$H178="EUR"),IF(AND($Z178="Crédit",$N178=$N179),$Q179,IF(AND($Z178="Débit",$N178=$N177),$Q177)),IF(OR(AND(OR($E178&lt;&gt;"",$L178=""),$M178&lt;&gt;0),$A178=""),IFERROR(VLOOKUP($E178,Selection!$E:$F,2,false)),IFERROR(VLOOKUP(SUBSTITUTE($I178,"-","",1),$K179:$Q1119,7,false),VLOOKUP($K178,$K179:$Q1119,7,false))))</f>
        <v/>
      </c>
      <c r="R178" s="49" t="str">
        <f t="shared" si="2"/>
        <v/>
      </c>
      <c r="S178" s="51" t="str">
        <f t="shared" si="3"/>
        <v/>
      </c>
      <c r="T178" s="52" t="str">
        <f t="shared" si="4"/>
        <v/>
      </c>
      <c r="U178" s="46" t="str">
        <f t="shared" si="5"/>
        <v/>
      </c>
      <c r="V178" s="53" t="str">
        <f>IFERROR(__xludf.DUMMYFUNCTION(" IF(Account!$F178&lt;&gt;"""", SPLIT(Account!$F178, "" ""), """")"),"")</f>
        <v/>
      </c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</row>
    <row r="179">
      <c r="A179" s="11"/>
      <c r="B179" s="11"/>
      <c r="C179" s="11"/>
      <c r="D179" s="11"/>
      <c r="E179" s="11"/>
      <c r="F179" s="12"/>
      <c r="G179" s="11"/>
      <c r="H179" s="11"/>
      <c r="I179" s="11"/>
      <c r="J179" s="11"/>
      <c r="K179" s="11"/>
      <c r="L179" s="45" t="str">
        <f t="shared" si="1"/>
        <v/>
      </c>
      <c r="M179" s="46" t="str">
        <f>IFERROR(__xludf.DUMMYFUNCTION("IF(Account!$F179&lt;&gt;"""", VALUE(REGEXREPLACE($I179, ""\,"", ""."")), """")"),"")</f>
        <v/>
      </c>
      <c r="N179" s="47" t="str">
        <f>IF(Account!$F179&lt;&gt;"", DATEVALUE(MID($A179,4,3) &amp; LEFT($A179,3) &amp; RIGHT($A179,4)) + TIMEVALUE($B179), "")</f>
        <v/>
      </c>
      <c r="O179" s="48" t="str">
        <f>IF(Account!$F179&lt;&gt;"", DATEVALUE(MID($A179,4,3) &amp; LEFT($A179,3) &amp; RIGHT($A179,4)), "")</f>
        <v/>
      </c>
      <c r="P179" s="49" t="str">
        <f>IFERROR(VLOOKUP($Q179,Selection!$F:$G,2,false))</f>
        <v/>
      </c>
      <c r="Q179" s="50" t="str">
        <f>IF(AND($X179="change",$H179="EUR"),IF(AND($Z179="Crédit",$N179=$N180),$Q180,IF(AND($Z179="Débit",$N179=$N178),$Q178)),IF(OR(AND(OR($E179&lt;&gt;"",$L179=""),$M179&lt;&gt;0),$A179=""),IFERROR(VLOOKUP($E179,Selection!$E:$F,2,false)),IFERROR(VLOOKUP(SUBSTITUTE($I179,"-","",1),$K180:$Q1119,7,false),VLOOKUP($K179,$K180:$Q1119,7,false))))</f>
        <v/>
      </c>
      <c r="R179" s="49" t="str">
        <f t="shared" si="2"/>
        <v/>
      </c>
      <c r="S179" s="51" t="str">
        <f t="shared" si="3"/>
        <v/>
      </c>
      <c r="T179" s="52" t="str">
        <f t="shared" si="4"/>
        <v/>
      </c>
      <c r="U179" s="46" t="str">
        <f t="shared" si="5"/>
        <v/>
      </c>
      <c r="V179" s="53" t="str">
        <f>IFERROR(__xludf.DUMMYFUNCTION(" IF(Account!$F179&lt;&gt;"""", SPLIT(Account!$F179, "" ""), """")"),"")</f>
        <v/>
      </c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</row>
    <row r="180">
      <c r="A180" s="11"/>
      <c r="B180" s="11"/>
      <c r="C180" s="11"/>
      <c r="D180" s="11"/>
      <c r="E180" s="11"/>
      <c r="F180" s="12"/>
      <c r="G180" s="11"/>
      <c r="H180" s="11"/>
      <c r="I180" s="11"/>
      <c r="J180" s="11"/>
      <c r="K180" s="11"/>
      <c r="L180" s="45" t="str">
        <f t="shared" si="1"/>
        <v/>
      </c>
      <c r="M180" s="46" t="str">
        <f>IFERROR(__xludf.DUMMYFUNCTION("IF(Account!$F180&lt;&gt;"""", VALUE(REGEXREPLACE($I180, ""\,"", ""."")), """")"),"")</f>
        <v/>
      </c>
      <c r="N180" s="47" t="str">
        <f>IF(Account!$F180&lt;&gt;"", DATEVALUE(MID($A180,4,3) &amp; LEFT($A180,3) &amp; RIGHT($A180,4)) + TIMEVALUE($B180), "")</f>
        <v/>
      </c>
      <c r="O180" s="48" t="str">
        <f>IF(Account!$F180&lt;&gt;"", DATEVALUE(MID($A180,4,3) &amp; LEFT($A180,3) &amp; RIGHT($A180,4)), "")</f>
        <v/>
      </c>
      <c r="P180" s="49" t="str">
        <f>IFERROR(VLOOKUP($Q180,Selection!$F:$G,2,false))</f>
        <v/>
      </c>
      <c r="Q180" s="50" t="str">
        <f>IF(AND($X180="change",$H180="EUR"),IF(AND($Z180="Crédit",$N180=$N181),$Q181,IF(AND($Z180="Débit",$N180=$N179),$Q179)),IF(OR(AND(OR($E180&lt;&gt;"",$L180=""),$M180&lt;&gt;0),$A180=""),IFERROR(VLOOKUP($E180,Selection!$E:$F,2,false)),IFERROR(VLOOKUP(SUBSTITUTE($I180,"-","",1),$K181:$Q1119,7,false),VLOOKUP($K180,$K181:$Q1119,7,false))))</f>
        <v/>
      </c>
      <c r="R180" s="49" t="str">
        <f t="shared" si="2"/>
        <v/>
      </c>
      <c r="S180" s="51" t="str">
        <f t="shared" si="3"/>
        <v/>
      </c>
      <c r="T180" s="52" t="str">
        <f t="shared" si="4"/>
        <v/>
      </c>
      <c r="U180" s="46" t="str">
        <f t="shared" si="5"/>
        <v/>
      </c>
      <c r="V180" s="53" t="str">
        <f>IFERROR(__xludf.DUMMYFUNCTION(" IF(Account!$F180&lt;&gt;"""", SPLIT(Account!$F180, "" ""), """")"),"")</f>
        <v/>
      </c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</row>
    <row r="181">
      <c r="A181" s="11"/>
      <c r="B181" s="11"/>
      <c r="C181" s="11"/>
      <c r="D181" s="11"/>
      <c r="E181" s="11"/>
      <c r="F181" s="12"/>
      <c r="G181" s="11"/>
      <c r="H181" s="11"/>
      <c r="I181" s="11"/>
      <c r="J181" s="11"/>
      <c r="K181" s="11"/>
      <c r="L181" s="45" t="str">
        <f t="shared" si="1"/>
        <v/>
      </c>
      <c r="M181" s="46" t="str">
        <f>IFERROR(__xludf.DUMMYFUNCTION("IF(Account!$F181&lt;&gt;"""", VALUE(REGEXREPLACE($I181, ""\,"", ""."")), """")"),"")</f>
        <v/>
      </c>
      <c r="N181" s="47" t="str">
        <f>IF(Account!$F181&lt;&gt;"", DATEVALUE(MID($A181,4,3) &amp; LEFT($A181,3) &amp; RIGHT($A181,4)) + TIMEVALUE($B181), "")</f>
        <v/>
      </c>
      <c r="O181" s="48" t="str">
        <f>IF(Account!$F181&lt;&gt;"", DATEVALUE(MID($A181,4,3) &amp; LEFT($A181,3) &amp; RIGHT($A181,4)), "")</f>
        <v/>
      </c>
      <c r="P181" s="49" t="str">
        <f>IFERROR(VLOOKUP($Q181,Selection!$F:$G,2,false))</f>
        <v/>
      </c>
      <c r="Q181" s="50" t="str">
        <f>IF(AND($X181="change",$H181="EUR"),IF(AND($Z181="Crédit",$N181=$N182),$Q182,IF(AND($Z181="Débit",$N181=$N180),$Q180)),IF(OR(AND(OR($E181&lt;&gt;"",$L181=""),$M181&lt;&gt;0),$A181=""),IFERROR(VLOOKUP($E181,Selection!$E:$F,2,false)),IFERROR(VLOOKUP(SUBSTITUTE($I181,"-","",1),$K182:$Q1119,7,false),VLOOKUP($K181,$K182:$Q1119,7,false))))</f>
        <v/>
      </c>
      <c r="R181" s="49" t="str">
        <f t="shared" si="2"/>
        <v/>
      </c>
      <c r="S181" s="51" t="str">
        <f t="shared" si="3"/>
        <v/>
      </c>
      <c r="T181" s="52" t="str">
        <f t="shared" si="4"/>
        <v/>
      </c>
      <c r="U181" s="46" t="str">
        <f t="shared" si="5"/>
        <v/>
      </c>
      <c r="V181" s="53" t="str">
        <f>IFERROR(__xludf.DUMMYFUNCTION(" IF(Account!$F181&lt;&gt;"""", SPLIT(Account!$F181, "" ""), """")"),"")</f>
        <v/>
      </c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</row>
    <row r="182">
      <c r="A182" s="11"/>
      <c r="B182" s="11"/>
      <c r="C182" s="11"/>
      <c r="D182" s="11"/>
      <c r="E182" s="11"/>
      <c r="F182" s="12"/>
      <c r="G182" s="11"/>
      <c r="H182" s="11"/>
      <c r="I182" s="11"/>
      <c r="J182" s="11"/>
      <c r="K182" s="11"/>
      <c r="L182" s="45" t="str">
        <f t="shared" si="1"/>
        <v/>
      </c>
      <c r="M182" s="46" t="str">
        <f>IFERROR(__xludf.DUMMYFUNCTION("IF(Account!$F182&lt;&gt;"""", VALUE(REGEXREPLACE($I182, ""\,"", ""."")), """")"),"")</f>
        <v/>
      </c>
      <c r="N182" s="47" t="str">
        <f>IF(Account!$F182&lt;&gt;"", DATEVALUE(MID($A182,4,3) &amp; LEFT($A182,3) &amp; RIGHT($A182,4)) + TIMEVALUE($B182), "")</f>
        <v/>
      </c>
      <c r="O182" s="48" t="str">
        <f>IF(Account!$F182&lt;&gt;"", DATEVALUE(MID($A182,4,3) &amp; LEFT($A182,3) &amp; RIGHT($A182,4)), "")</f>
        <v/>
      </c>
      <c r="P182" s="49" t="str">
        <f>IFERROR(VLOOKUP($Q182,Selection!$F:$G,2,false))</f>
        <v/>
      </c>
      <c r="Q182" s="50" t="str">
        <f>IF(AND($X182="change",$H182="EUR"),IF(AND($Z182="Crédit",$N182=$N183),$Q183,IF(AND($Z182="Débit",$N182=$N181),$Q181)),IF(OR(AND(OR($E182&lt;&gt;"",$L182=""),$M182&lt;&gt;0),$A182=""),IFERROR(VLOOKUP($E182,Selection!$E:$F,2,false)),IFERROR(VLOOKUP(SUBSTITUTE($I182,"-","",1),$K183:$Q1119,7,false),VLOOKUP($K182,$K183:$Q1119,7,false))))</f>
        <v/>
      </c>
      <c r="R182" s="49" t="str">
        <f t="shared" si="2"/>
        <v/>
      </c>
      <c r="S182" s="51" t="str">
        <f t="shared" si="3"/>
        <v/>
      </c>
      <c r="T182" s="52" t="str">
        <f t="shared" si="4"/>
        <v/>
      </c>
      <c r="U182" s="46" t="str">
        <f t="shared" si="5"/>
        <v/>
      </c>
      <c r="V182" s="53" t="str">
        <f>IFERROR(__xludf.DUMMYFUNCTION(" IF(Account!$F182&lt;&gt;"""", SPLIT(Account!$F182, "" ""), """")"),"")</f>
        <v/>
      </c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</row>
    <row r="183">
      <c r="A183" s="11"/>
      <c r="B183" s="11"/>
      <c r="C183" s="11"/>
      <c r="D183" s="11"/>
      <c r="E183" s="11"/>
      <c r="F183" s="12"/>
      <c r="G183" s="11"/>
      <c r="H183" s="11"/>
      <c r="I183" s="11"/>
      <c r="J183" s="11"/>
      <c r="K183" s="11"/>
      <c r="L183" s="45" t="str">
        <f t="shared" si="1"/>
        <v/>
      </c>
      <c r="M183" s="46" t="str">
        <f>IFERROR(__xludf.DUMMYFUNCTION("IF(Account!$F183&lt;&gt;"""", VALUE(REGEXREPLACE($I183, ""\,"", ""."")), """")"),"")</f>
        <v/>
      </c>
      <c r="N183" s="47" t="str">
        <f>IF(Account!$F183&lt;&gt;"", DATEVALUE(MID($A183,4,3) &amp; LEFT($A183,3) &amp; RIGHT($A183,4)) + TIMEVALUE($B183), "")</f>
        <v/>
      </c>
      <c r="O183" s="48" t="str">
        <f>IF(Account!$F183&lt;&gt;"", DATEVALUE(MID($A183,4,3) &amp; LEFT($A183,3) &amp; RIGHT($A183,4)), "")</f>
        <v/>
      </c>
      <c r="P183" s="49" t="str">
        <f>IFERROR(VLOOKUP($Q183,Selection!$F:$G,2,false))</f>
        <v/>
      </c>
      <c r="Q183" s="50" t="str">
        <f>IF(AND($X183="change",$H183="EUR"),IF(AND($Z183="Crédit",$N183=$N184),$Q184,IF(AND($Z183="Débit",$N183=$N182),$Q182)),IF(OR(AND(OR($E183&lt;&gt;"",$L183=""),$M183&lt;&gt;0),$A183=""),IFERROR(VLOOKUP($E183,Selection!$E:$F,2,false)),IFERROR(VLOOKUP(SUBSTITUTE($I183,"-","",1),$K184:$Q1119,7,false),VLOOKUP($K183,$K184:$Q1119,7,false))))</f>
        <v/>
      </c>
      <c r="R183" s="49" t="str">
        <f t="shared" si="2"/>
        <v/>
      </c>
      <c r="S183" s="51" t="str">
        <f t="shared" si="3"/>
        <v/>
      </c>
      <c r="T183" s="52" t="str">
        <f t="shared" si="4"/>
        <v/>
      </c>
      <c r="U183" s="46" t="str">
        <f t="shared" si="5"/>
        <v/>
      </c>
      <c r="V183" s="53" t="str">
        <f>IFERROR(__xludf.DUMMYFUNCTION(" IF(Account!$F183&lt;&gt;"""", SPLIT(Account!$F183, "" ""), """")"),"")</f>
        <v/>
      </c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</row>
    <row r="184">
      <c r="A184" s="11"/>
      <c r="B184" s="11"/>
      <c r="C184" s="11"/>
      <c r="D184" s="11"/>
      <c r="E184" s="11"/>
      <c r="F184" s="12"/>
      <c r="G184" s="11"/>
      <c r="H184" s="11"/>
      <c r="I184" s="11"/>
      <c r="J184" s="11"/>
      <c r="K184" s="11"/>
      <c r="L184" s="45" t="str">
        <f t="shared" si="1"/>
        <v/>
      </c>
      <c r="M184" s="46" t="str">
        <f>IFERROR(__xludf.DUMMYFUNCTION("IF(Account!$F184&lt;&gt;"""", VALUE(REGEXREPLACE($I184, ""\,"", ""."")), """")"),"")</f>
        <v/>
      </c>
      <c r="N184" s="47" t="str">
        <f>IF(Account!$F184&lt;&gt;"", DATEVALUE(MID($A184,4,3) &amp; LEFT($A184,3) &amp; RIGHT($A184,4)) + TIMEVALUE($B184), "")</f>
        <v/>
      </c>
      <c r="O184" s="48" t="str">
        <f>IF(Account!$F184&lt;&gt;"", DATEVALUE(MID($A184,4,3) &amp; LEFT($A184,3) &amp; RIGHT($A184,4)), "")</f>
        <v/>
      </c>
      <c r="P184" s="49" t="str">
        <f>IFERROR(VLOOKUP($Q184,Selection!$F:$G,2,false))</f>
        <v/>
      </c>
      <c r="Q184" s="50" t="str">
        <f>IF(AND($X184="change",$H184="EUR"),IF(AND($Z184="Crédit",$N184=$N185),$Q185,IF(AND($Z184="Débit",$N184=$N183),$Q183)),IF(OR(AND(OR($E184&lt;&gt;"",$L184=""),$M184&lt;&gt;0),$A184=""),IFERROR(VLOOKUP($E184,Selection!$E:$F,2,false)),IFERROR(VLOOKUP(SUBSTITUTE($I184,"-","",1),$K185:$Q1119,7,false),VLOOKUP($K184,$K185:$Q1119,7,false))))</f>
        <v/>
      </c>
      <c r="R184" s="49" t="str">
        <f t="shared" si="2"/>
        <v/>
      </c>
      <c r="S184" s="51" t="str">
        <f t="shared" si="3"/>
        <v/>
      </c>
      <c r="T184" s="52" t="str">
        <f t="shared" si="4"/>
        <v/>
      </c>
      <c r="U184" s="46" t="str">
        <f t="shared" si="5"/>
        <v/>
      </c>
      <c r="V184" s="53" t="str">
        <f>IFERROR(__xludf.DUMMYFUNCTION(" IF(Account!$F184&lt;&gt;"""", SPLIT(Account!$F184, "" ""), """")"),"")</f>
        <v/>
      </c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</row>
    <row r="185">
      <c r="A185" s="11"/>
      <c r="B185" s="11"/>
      <c r="C185" s="11"/>
      <c r="D185" s="11"/>
      <c r="E185" s="11"/>
      <c r="F185" s="12"/>
      <c r="G185" s="11"/>
      <c r="H185" s="11"/>
      <c r="I185" s="11"/>
      <c r="J185" s="11"/>
      <c r="K185" s="11"/>
      <c r="L185" s="45" t="str">
        <f t="shared" si="1"/>
        <v/>
      </c>
      <c r="M185" s="46" t="str">
        <f>IFERROR(__xludf.DUMMYFUNCTION("IF(Account!$F185&lt;&gt;"""", VALUE(REGEXREPLACE($I185, ""\,"", ""."")), """")"),"")</f>
        <v/>
      </c>
      <c r="N185" s="47" t="str">
        <f>IF(Account!$F185&lt;&gt;"", DATEVALUE(MID($A185,4,3) &amp; LEFT($A185,3) &amp; RIGHT($A185,4)) + TIMEVALUE($B185), "")</f>
        <v/>
      </c>
      <c r="O185" s="48" t="str">
        <f>IF(Account!$F185&lt;&gt;"", DATEVALUE(MID($A185,4,3) &amp; LEFT($A185,3) &amp; RIGHT($A185,4)), "")</f>
        <v/>
      </c>
      <c r="P185" s="49" t="str">
        <f>IFERROR(VLOOKUP($Q185,Selection!$F:$G,2,false))</f>
        <v/>
      </c>
      <c r="Q185" s="50" t="str">
        <f>IF(AND($X185="change",$H185="EUR"),IF(AND($Z185="Crédit",$N185=$N186),$Q186,IF(AND($Z185="Débit",$N185=$N184),$Q184)),IF(OR(AND(OR($E185&lt;&gt;"",$L185=""),$M185&lt;&gt;0),$A185=""),IFERROR(VLOOKUP($E185,Selection!$E:$F,2,false)),IFERROR(VLOOKUP(SUBSTITUTE($I185,"-","",1),$K186:$Q1119,7,false),VLOOKUP($K185,$K186:$Q1119,7,false))))</f>
        <v/>
      </c>
      <c r="R185" s="49" t="str">
        <f t="shared" si="2"/>
        <v/>
      </c>
      <c r="S185" s="51" t="str">
        <f t="shared" si="3"/>
        <v/>
      </c>
      <c r="T185" s="52" t="str">
        <f t="shared" si="4"/>
        <v/>
      </c>
      <c r="U185" s="46" t="str">
        <f t="shared" si="5"/>
        <v/>
      </c>
      <c r="V185" s="53" t="str">
        <f>IFERROR(__xludf.DUMMYFUNCTION(" IF(Account!$F185&lt;&gt;"""", SPLIT(Account!$F185, "" ""), """")"),"")</f>
        <v/>
      </c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</row>
    <row r="186">
      <c r="A186" s="11"/>
      <c r="B186" s="11"/>
      <c r="C186" s="11"/>
      <c r="D186" s="11"/>
      <c r="E186" s="11"/>
      <c r="F186" s="12"/>
      <c r="G186" s="11"/>
      <c r="H186" s="11"/>
      <c r="I186" s="11"/>
      <c r="J186" s="11"/>
      <c r="K186" s="11"/>
      <c r="L186" s="45" t="str">
        <f t="shared" si="1"/>
        <v/>
      </c>
      <c r="M186" s="46" t="str">
        <f>IFERROR(__xludf.DUMMYFUNCTION("IF(Account!$F186&lt;&gt;"""", VALUE(REGEXREPLACE($I186, ""\,"", ""."")), """")"),"")</f>
        <v/>
      </c>
      <c r="N186" s="47" t="str">
        <f>IF(Account!$F186&lt;&gt;"", DATEVALUE(MID($A186,4,3) &amp; LEFT($A186,3) &amp; RIGHT($A186,4)) + TIMEVALUE($B186), "")</f>
        <v/>
      </c>
      <c r="O186" s="48" t="str">
        <f>IF(Account!$F186&lt;&gt;"", DATEVALUE(MID($A186,4,3) &amp; LEFT($A186,3) &amp; RIGHT($A186,4)), "")</f>
        <v/>
      </c>
      <c r="P186" s="49" t="str">
        <f>IFERROR(VLOOKUP($Q186,Selection!$F:$G,2,false))</f>
        <v/>
      </c>
      <c r="Q186" s="50" t="str">
        <f>IF(AND($X186="change",$H186="EUR"),IF(AND($Z186="Crédit",$N186=$N187),$Q187,IF(AND($Z186="Débit",$N186=$N185),$Q185)),IF(OR(AND(OR($E186&lt;&gt;"",$L186=""),$M186&lt;&gt;0),$A186=""),IFERROR(VLOOKUP($E186,Selection!$E:$F,2,false)),IFERROR(VLOOKUP(SUBSTITUTE($I186,"-","",1),$K187:$Q1119,7,false),VLOOKUP($K186,$K187:$Q1119,7,false))))</f>
        <v/>
      </c>
      <c r="R186" s="49" t="str">
        <f t="shared" si="2"/>
        <v/>
      </c>
      <c r="S186" s="51" t="str">
        <f t="shared" si="3"/>
        <v/>
      </c>
      <c r="T186" s="52" t="str">
        <f t="shared" si="4"/>
        <v/>
      </c>
      <c r="U186" s="46" t="str">
        <f t="shared" si="5"/>
        <v/>
      </c>
      <c r="V186" s="53" t="str">
        <f>IFERROR(__xludf.DUMMYFUNCTION(" IF(Account!$F186&lt;&gt;"""", SPLIT(Account!$F186, "" ""), """")"),"")</f>
        <v/>
      </c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</row>
    <row r="187">
      <c r="A187" s="11"/>
      <c r="B187" s="11"/>
      <c r="C187" s="11"/>
      <c r="D187" s="11"/>
      <c r="E187" s="11"/>
      <c r="F187" s="12"/>
      <c r="G187" s="11"/>
      <c r="H187" s="11"/>
      <c r="I187" s="11"/>
      <c r="J187" s="11"/>
      <c r="K187" s="11"/>
      <c r="L187" s="45" t="str">
        <f t="shared" si="1"/>
        <v/>
      </c>
      <c r="M187" s="46" t="str">
        <f>IFERROR(__xludf.DUMMYFUNCTION("IF(Account!$F187&lt;&gt;"""", VALUE(REGEXREPLACE($I187, ""\,"", ""."")), """")"),"")</f>
        <v/>
      </c>
      <c r="N187" s="47" t="str">
        <f>IF(Account!$F187&lt;&gt;"", DATEVALUE(MID($A187,4,3) &amp; LEFT($A187,3) &amp; RIGHT($A187,4)) + TIMEVALUE($B187), "")</f>
        <v/>
      </c>
      <c r="O187" s="48" t="str">
        <f>IF(Account!$F187&lt;&gt;"", DATEVALUE(MID($A187,4,3) &amp; LEFT($A187,3) &amp; RIGHT($A187,4)), "")</f>
        <v/>
      </c>
      <c r="P187" s="49" t="str">
        <f>IFERROR(VLOOKUP($Q187,Selection!$F:$G,2,false))</f>
        <v/>
      </c>
      <c r="Q187" s="50" t="str">
        <f>IF(AND($X187="change",$H187="EUR"),IF(AND($Z187="Crédit",$N187=$N188),$Q188,IF(AND($Z187="Débit",$N187=$N186),$Q186)),IF(OR(AND(OR($E187&lt;&gt;"",$L187=""),$M187&lt;&gt;0),$A187=""),IFERROR(VLOOKUP($E187,Selection!$E:$F,2,false)),IFERROR(VLOOKUP(SUBSTITUTE($I187,"-","",1),$K188:$Q1119,7,false),VLOOKUP($K187,$K188:$Q1119,7,false))))</f>
        <v/>
      </c>
      <c r="R187" s="49" t="str">
        <f t="shared" si="2"/>
        <v/>
      </c>
      <c r="S187" s="51" t="str">
        <f t="shared" si="3"/>
        <v/>
      </c>
      <c r="T187" s="52" t="str">
        <f t="shared" si="4"/>
        <v/>
      </c>
      <c r="U187" s="46" t="str">
        <f t="shared" si="5"/>
        <v/>
      </c>
      <c r="V187" s="53" t="str">
        <f>IFERROR(__xludf.DUMMYFUNCTION(" IF(Account!$F187&lt;&gt;"""", SPLIT(Account!$F187, "" ""), """")"),"")</f>
        <v/>
      </c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</row>
    <row r="188">
      <c r="A188" s="11"/>
      <c r="B188" s="11"/>
      <c r="C188" s="11"/>
      <c r="D188" s="11"/>
      <c r="E188" s="11"/>
      <c r="F188" s="12"/>
      <c r="G188" s="11"/>
      <c r="H188" s="11"/>
      <c r="I188" s="11"/>
      <c r="J188" s="11"/>
      <c r="K188" s="11"/>
      <c r="L188" s="45" t="str">
        <f t="shared" si="1"/>
        <v/>
      </c>
      <c r="M188" s="46" t="str">
        <f>IFERROR(__xludf.DUMMYFUNCTION("IF(Account!$F188&lt;&gt;"""", VALUE(REGEXREPLACE($I188, ""\,"", ""."")), """")"),"")</f>
        <v/>
      </c>
      <c r="N188" s="47" t="str">
        <f>IF(Account!$F188&lt;&gt;"", DATEVALUE(MID($A188,4,3) &amp; LEFT($A188,3) &amp; RIGHT($A188,4)) + TIMEVALUE($B188), "")</f>
        <v/>
      </c>
      <c r="O188" s="48" t="str">
        <f>IF(Account!$F188&lt;&gt;"", DATEVALUE(MID($A188,4,3) &amp; LEFT($A188,3) &amp; RIGHT($A188,4)), "")</f>
        <v/>
      </c>
      <c r="P188" s="49" t="str">
        <f>IFERROR(VLOOKUP($Q188,Selection!$F:$G,2,false))</f>
        <v/>
      </c>
      <c r="Q188" s="50" t="str">
        <f>IF(AND($X188="change",$H188="EUR"),IF(AND($Z188="Crédit",$N188=$N189),$Q189,IF(AND($Z188="Débit",$N188=$N187),$Q187)),IF(OR(AND(OR($E188&lt;&gt;"",$L188=""),$M188&lt;&gt;0),$A188=""),IFERROR(VLOOKUP($E188,Selection!$E:$F,2,false)),IFERROR(VLOOKUP(SUBSTITUTE($I188,"-","",1),$K189:$Q1119,7,false),VLOOKUP($K188,$K189:$Q1119,7,false))))</f>
        <v/>
      </c>
      <c r="R188" s="49" t="str">
        <f t="shared" si="2"/>
        <v/>
      </c>
      <c r="S188" s="51" t="str">
        <f t="shared" si="3"/>
        <v/>
      </c>
      <c r="T188" s="52" t="str">
        <f t="shared" si="4"/>
        <v/>
      </c>
      <c r="U188" s="46" t="str">
        <f t="shared" si="5"/>
        <v/>
      </c>
      <c r="V188" s="53" t="str">
        <f>IFERROR(__xludf.DUMMYFUNCTION(" IF(Account!$F188&lt;&gt;"""", SPLIT(Account!$F188, "" ""), """")"),"")</f>
        <v/>
      </c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</row>
    <row r="189">
      <c r="A189" s="11"/>
      <c r="B189" s="11"/>
      <c r="C189" s="11"/>
      <c r="D189" s="11"/>
      <c r="E189" s="11"/>
      <c r="F189" s="12"/>
      <c r="G189" s="11"/>
      <c r="H189" s="11"/>
      <c r="I189" s="11"/>
      <c r="J189" s="11"/>
      <c r="K189" s="11"/>
      <c r="L189" s="45" t="str">
        <f t="shared" si="1"/>
        <v/>
      </c>
      <c r="M189" s="46" t="str">
        <f>IFERROR(__xludf.DUMMYFUNCTION("IF(Account!$F189&lt;&gt;"""", VALUE(REGEXREPLACE($I189, ""\,"", ""."")), """")"),"")</f>
        <v/>
      </c>
      <c r="N189" s="47" t="str">
        <f>IF(Account!$F189&lt;&gt;"", DATEVALUE(MID($A189,4,3) &amp; LEFT($A189,3) &amp; RIGHT($A189,4)) + TIMEVALUE($B189), "")</f>
        <v/>
      </c>
      <c r="O189" s="48" t="str">
        <f>IF(Account!$F189&lt;&gt;"", DATEVALUE(MID($A189,4,3) &amp; LEFT($A189,3) &amp; RIGHT($A189,4)), "")</f>
        <v/>
      </c>
      <c r="P189" s="49" t="str">
        <f>IFERROR(VLOOKUP($Q189,Selection!$F:$G,2,false))</f>
        <v/>
      </c>
      <c r="Q189" s="50" t="str">
        <f>IF(AND($X189="change",$H189="EUR"),IF(AND($Z189="Crédit",$N189=$N190),$Q190,IF(AND($Z189="Débit",$N189=$N188),$Q188)),IF(OR(AND(OR($E189&lt;&gt;"",$L189=""),$M189&lt;&gt;0),$A189=""),IFERROR(VLOOKUP($E189,Selection!$E:$F,2,false)),IFERROR(VLOOKUP(SUBSTITUTE($I189,"-","",1),$K190:$Q1119,7,false),VLOOKUP($K189,$K190:$Q1119,7,false))))</f>
        <v/>
      </c>
      <c r="R189" s="49" t="str">
        <f t="shared" si="2"/>
        <v/>
      </c>
      <c r="S189" s="51" t="str">
        <f t="shared" si="3"/>
        <v/>
      </c>
      <c r="T189" s="52" t="str">
        <f t="shared" si="4"/>
        <v/>
      </c>
      <c r="U189" s="46" t="str">
        <f t="shared" si="5"/>
        <v/>
      </c>
      <c r="V189" s="53" t="str">
        <f>IFERROR(__xludf.DUMMYFUNCTION(" IF(Account!$F189&lt;&gt;"""", SPLIT(Account!$F189, "" ""), """")"),"")</f>
        <v/>
      </c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</row>
    <row r="190">
      <c r="A190" s="11"/>
      <c r="B190" s="11"/>
      <c r="C190" s="11"/>
      <c r="D190" s="11"/>
      <c r="E190" s="11"/>
      <c r="F190" s="12"/>
      <c r="G190" s="11"/>
      <c r="H190" s="11"/>
      <c r="I190" s="11"/>
      <c r="J190" s="11"/>
      <c r="K190" s="11"/>
      <c r="L190" s="45" t="str">
        <f t="shared" si="1"/>
        <v/>
      </c>
      <c r="M190" s="46" t="str">
        <f>IFERROR(__xludf.DUMMYFUNCTION("IF(Account!$F190&lt;&gt;"""", VALUE(REGEXREPLACE($I190, ""\,"", ""."")), """")"),"")</f>
        <v/>
      </c>
      <c r="N190" s="47" t="str">
        <f>IF(Account!$F190&lt;&gt;"", DATEVALUE(MID($A190,4,3) &amp; LEFT($A190,3) &amp; RIGHT($A190,4)) + TIMEVALUE($B190), "")</f>
        <v/>
      </c>
      <c r="O190" s="48" t="str">
        <f>IF(Account!$F190&lt;&gt;"", DATEVALUE(MID($A190,4,3) &amp; LEFT($A190,3) &amp; RIGHT($A190,4)), "")</f>
        <v/>
      </c>
      <c r="P190" s="49" t="str">
        <f>IFERROR(VLOOKUP($Q190,Selection!$F:$G,2,false))</f>
        <v/>
      </c>
      <c r="Q190" s="50" t="str">
        <f>IF(AND($X190="change",$H190="EUR"),IF(AND($Z190="Crédit",$N190=$N191),$Q191,IF(AND($Z190="Débit",$N190=$N189),$Q189)),IF(OR(AND(OR($E190&lt;&gt;"",$L190=""),$M190&lt;&gt;0),$A190=""),IFERROR(VLOOKUP($E190,Selection!$E:$F,2,false)),IFERROR(VLOOKUP(SUBSTITUTE($I190,"-","",1),$K191:$Q1119,7,false),VLOOKUP($K190,$K191:$Q1119,7,false))))</f>
        <v/>
      </c>
      <c r="R190" s="49" t="str">
        <f t="shared" si="2"/>
        <v/>
      </c>
      <c r="S190" s="51" t="str">
        <f t="shared" si="3"/>
        <v/>
      </c>
      <c r="T190" s="52" t="str">
        <f t="shared" si="4"/>
        <v/>
      </c>
      <c r="U190" s="46" t="str">
        <f t="shared" si="5"/>
        <v/>
      </c>
      <c r="V190" s="53" t="str">
        <f>IFERROR(__xludf.DUMMYFUNCTION(" IF(Account!$F190&lt;&gt;"""", SPLIT(Account!$F190, "" ""), """")"),"")</f>
        <v/>
      </c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</row>
    <row r="191">
      <c r="A191" s="11"/>
      <c r="B191" s="11"/>
      <c r="C191" s="11"/>
      <c r="D191" s="11"/>
      <c r="E191" s="11"/>
      <c r="F191" s="12"/>
      <c r="G191" s="11"/>
      <c r="H191" s="11"/>
      <c r="I191" s="11"/>
      <c r="J191" s="11"/>
      <c r="K191" s="11"/>
      <c r="L191" s="45" t="str">
        <f t="shared" si="1"/>
        <v/>
      </c>
      <c r="M191" s="46" t="str">
        <f>IFERROR(__xludf.DUMMYFUNCTION("IF(Account!$F191&lt;&gt;"""", VALUE(REGEXREPLACE($I191, ""\,"", ""."")), """")"),"")</f>
        <v/>
      </c>
      <c r="N191" s="47" t="str">
        <f>IF(Account!$F191&lt;&gt;"", DATEVALUE(MID($A191,4,3) &amp; LEFT($A191,3) &amp; RIGHT($A191,4)) + TIMEVALUE($B191), "")</f>
        <v/>
      </c>
      <c r="O191" s="48" t="str">
        <f>IF(Account!$F191&lt;&gt;"", DATEVALUE(MID($A191,4,3) &amp; LEFT($A191,3) &amp; RIGHT($A191,4)), "")</f>
        <v/>
      </c>
      <c r="P191" s="49" t="str">
        <f>IFERROR(VLOOKUP($Q191,Selection!$F:$G,2,false))</f>
        <v/>
      </c>
      <c r="Q191" s="50" t="str">
        <f>IF(AND($X191="change",$H191="EUR"),IF(AND($Z191="Crédit",$N191=$N192),$Q192,IF(AND($Z191="Débit",$N191=$N190),$Q190)),IF(OR(AND(OR($E191&lt;&gt;"",$L191=""),$M191&lt;&gt;0),$A191=""),IFERROR(VLOOKUP($E191,Selection!$E:$F,2,false)),IFERROR(VLOOKUP(SUBSTITUTE($I191,"-","",1),$K192:$Q1119,7,false),VLOOKUP($K191,$K192:$Q1119,7,false))))</f>
        <v/>
      </c>
      <c r="R191" s="49" t="str">
        <f t="shared" si="2"/>
        <v/>
      </c>
      <c r="S191" s="51" t="str">
        <f t="shared" si="3"/>
        <v/>
      </c>
      <c r="T191" s="52" t="str">
        <f t="shared" si="4"/>
        <v/>
      </c>
      <c r="U191" s="46" t="str">
        <f t="shared" si="5"/>
        <v/>
      </c>
      <c r="V191" s="53" t="str">
        <f>IFERROR(__xludf.DUMMYFUNCTION(" IF(Account!$F191&lt;&gt;"""", SPLIT(Account!$F191, "" ""), """")"),"")</f>
        <v/>
      </c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</row>
    <row r="192">
      <c r="A192" s="11"/>
      <c r="B192" s="11"/>
      <c r="C192" s="11"/>
      <c r="D192" s="11"/>
      <c r="E192" s="11"/>
      <c r="F192" s="12"/>
      <c r="G192" s="215"/>
      <c r="H192" s="11"/>
      <c r="I192" s="11"/>
      <c r="J192" s="11"/>
      <c r="K192" s="11"/>
      <c r="L192" s="45" t="str">
        <f t="shared" si="1"/>
        <v/>
      </c>
      <c r="M192" s="46" t="str">
        <f>IFERROR(__xludf.DUMMYFUNCTION("IF(Account!$F192&lt;&gt;"""", VALUE(REGEXREPLACE($I192, ""\,"", ""."")), """")"),"")</f>
        <v/>
      </c>
      <c r="N192" s="47" t="str">
        <f>IF(Account!$F192&lt;&gt;"", DATEVALUE(MID($A192,4,3) &amp; LEFT($A192,3) &amp; RIGHT($A192,4)) + TIMEVALUE($B192), "")</f>
        <v/>
      </c>
      <c r="O192" s="48" t="str">
        <f>IF(Account!$F192&lt;&gt;"", DATEVALUE(MID($A192,4,3) &amp; LEFT($A192,3) &amp; RIGHT($A192,4)), "")</f>
        <v/>
      </c>
      <c r="P192" s="49" t="str">
        <f>IFERROR(VLOOKUP($Q192,Selection!$F:$G,2,false))</f>
        <v/>
      </c>
      <c r="Q192" s="50" t="str">
        <f>IF(AND($X192="change",$H192="EUR"),IF(AND($Z192="Crédit",$N192=$N193),$Q193,IF(AND($Z192="Débit",$N192=$N191),$Q191)),IF(OR(AND(OR($E192&lt;&gt;"",$L192=""),$M192&lt;&gt;0),$A192=""),IFERROR(VLOOKUP($E192,Selection!$E:$F,2,false)),IFERROR(VLOOKUP(SUBSTITUTE($I192,"-","",1),$K193:$Q1119,7,false),VLOOKUP($K192,$K193:$Q1119,7,false))))</f>
        <v/>
      </c>
      <c r="R192" s="49" t="str">
        <f t="shared" si="2"/>
        <v/>
      </c>
      <c r="S192" s="51" t="str">
        <f t="shared" si="3"/>
        <v/>
      </c>
      <c r="T192" s="52" t="str">
        <f t="shared" si="4"/>
        <v/>
      </c>
      <c r="U192" s="46" t="str">
        <f t="shared" si="5"/>
        <v/>
      </c>
      <c r="V192" s="53" t="str">
        <f>IFERROR(__xludf.DUMMYFUNCTION(" IF(Account!$F192&lt;&gt;"""", SPLIT(Account!$F192, "" ""), """")"),"")</f>
        <v/>
      </c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</row>
    <row r="193">
      <c r="A193" s="11"/>
      <c r="B193" s="11"/>
      <c r="C193" s="11"/>
      <c r="D193" s="11"/>
      <c r="E193" s="11"/>
      <c r="F193" s="12"/>
      <c r="G193" s="11"/>
      <c r="H193" s="11"/>
      <c r="I193" s="11"/>
      <c r="J193" s="11"/>
      <c r="K193" s="11"/>
      <c r="L193" s="45" t="str">
        <f t="shared" si="1"/>
        <v/>
      </c>
      <c r="M193" s="46" t="str">
        <f>IFERROR(__xludf.DUMMYFUNCTION("IF(Account!$F193&lt;&gt;"""", VALUE(REGEXREPLACE($I193, ""\,"", ""."")), """")"),"")</f>
        <v/>
      </c>
      <c r="N193" s="47" t="str">
        <f>IF(Account!$F193&lt;&gt;"", DATEVALUE(MID($A193,4,3) &amp; LEFT($A193,3) &amp; RIGHT($A193,4)) + TIMEVALUE($B193), "")</f>
        <v/>
      </c>
      <c r="O193" s="48" t="str">
        <f>IF(Account!$F193&lt;&gt;"", DATEVALUE(MID($A193,4,3) &amp; LEFT($A193,3) &amp; RIGHT($A193,4)), "")</f>
        <v/>
      </c>
      <c r="P193" s="49" t="str">
        <f>IFERROR(VLOOKUP($Q193,Selection!$F:$G,2,false))</f>
        <v/>
      </c>
      <c r="Q193" s="50" t="str">
        <f>IF(AND($X193="change",$H193="EUR"),IF(AND($Z193="Crédit",$N193=$N194),$Q194,IF(AND($Z193="Débit",$N193=$N192),$Q192)),IF(OR(AND(OR($E193&lt;&gt;"",$L193=""),$M193&lt;&gt;0),$A193=""),IFERROR(VLOOKUP($E193,Selection!$E:$F,2,false)),IFERROR(VLOOKUP(SUBSTITUTE($I193,"-","",1),$K194:$Q1119,7,false),VLOOKUP($K193,$K194:$Q1119,7,false))))</f>
        <v/>
      </c>
      <c r="R193" s="49" t="str">
        <f t="shared" si="2"/>
        <v/>
      </c>
      <c r="S193" s="51" t="str">
        <f t="shared" si="3"/>
        <v/>
      </c>
      <c r="T193" s="52" t="str">
        <f t="shared" si="4"/>
        <v/>
      </c>
      <c r="U193" s="46" t="str">
        <f t="shared" si="5"/>
        <v/>
      </c>
      <c r="V193" s="53" t="str">
        <f>IFERROR(__xludf.DUMMYFUNCTION(" IF(Account!$F193&lt;&gt;"""", SPLIT(Account!$F193, "" ""), """")"),"")</f>
        <v/>
      </c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</row>
    <row r="194">
      <c r="A194" s="11"/>
      <c r="B194" s="11"/>
      <c r="C194" s="11"/>
      <c r="D194" s="11"/>
      <c r="E194" s="11"/>
      <c r="F194" s="12"/>
      <c r="G194" s="215"/>
      <c r="H194" s="11"/>
      <c r="I194" s="11"/>
      <c r="J194" s="11"/>
      <c r="K194" s="11"/>
      <c r="L194" s="45" t="str">
        <f t="shared" si="1"/>
        <v/>
      </c>
      <c r="M194" s="46" t="str">
        <f>IFERROR(__xludf.DUMMYFUNCTION("IF(Account!$F194&lt;&gt;"""", VALUE(REGEXREPLACE($I194, ""\,"", ""."")), """")"),"")</f>
        <v/>
      </c>
      <c r="N194" s="47" t="str">
        <f>IF(Account!$F194&lt;&gt;"", DATEVALUE(MID($A194,4,3) &amp; LEFT($A194,3) &amp; RIGHT($A194,4)) + TIMEVALUE($B194), "")</f>
        <v/>
      </c>
      <c r="O194" s="48" t="str">
        <f>IF(Account!$F194&lt;&gt;"", DATEVALUE(MID($A194,4,3) &amp; LEFT($A194,3) &amp; RIGHT($A194,4)), "")</f>
        <v/>
      </c>
      <c r="P194" s="49" t="str">
        <f>IFERROR(VLOOKUP($Q194,Selection!$F:$G,2,false))</f>
        <v/>
      </c>
      <c r="Q194" s="50" t="str">
        <f>IF(AND($X194="change",$H194="EUR"),IF(AND($Z194="Crédit",$N194=$N195),$Q195,IF(AND($Z194="Débit",$N194=$N193),$Q193)),IF(OR(AND(OR($E194&lt;&gt;"",$L194=""),$M194&lt;&gt;0),$A194=""),IFERROR(VLOOKUP($E194,Selection!$E:$F,2,false)),IFERROR(VLOOKUP(SUBSTITUTE($I194,"-","",1),$K195:$Q1119,7,false),VLOOKUP($K194,$K195:$Q1119,7,false))))</f>
        <v/>
      </c>
      <c r="R194" s="49" t="str">
        <f t="shared" si="2"/>
        <v/>
      </c>
      <c r="S194" s="51" t="str">
        <f t="shared" si="3"/>
        <v/>
      </c>
      <c r="T194" s="52" t="str">
        <f t="shared" si="4"/>
        <v/>
      </c>
      <c r="U194" s="46" t="str">
        <f t="shared" si="5"/>
        <v/>
      </c>
      <c r="V194" s="53" t="str">
        <f>IFERROR(__xludf.DUMMYFUNCTION(" IF(Account!$F194&lt;&gt;"""", SPLIT(Account!$F194, "" ""), """")"),"")</f>
        <v/>
      </c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</row>
    <row r="195">
      <c r="A195" s="11"/>
      <c r="B195" s="11"/>
      <c r="C195" s="11"/>
      <c r="D195" s="11"/>
      <c r="E195" s="11"/>
      <c r="F195" s="12"/>
      <c r="G195" s="11"/>
      <c r="H195" s="11"/>
      <c r="I195" s="11"/>
      <c r="J195" s="11"/>
      <c r="K195" s="11"/>
      <c r="L195" s="45" t="str">
        <f t="shared" si="1"/>
        <v/>
      </c>
      <c r="M195" s="46" t="str">
        <f>IFERROR(__xludf.DUMMYFUNCTION("IF(Account!$F195&lt;&gt;"""", VALUE(REGEXREPLACE($I195, ""\,"", ""."")), """")"),"")</f>
        <v/>
      </c>
      <c r="N195" s="47" t="str">
        <f>IF(Account!$F195&lt;&gt;"", DATEVALUE(MID($A195,4,3) &amp; LEFT($A195,3) &amp; RIGHT($A195,4)) + TIMEVALUE($B195), "")</f>
        <v/>
      </c>
      <c r="O195" s="48" t="str">
        <f>IF(Account!$F195&lt;&gt;"", DATEVALUE(MID($A195,4,3) &amp; LEFT($A195,3) &amp; RIGHT($A195,4)), "")</f>
        <v/>
      </c>
      <c r="P195" s="49" t="str">
        <f>IFERROR(VLOOKUP($Q195,Selection!$F:$G,2,false))</f>
        <v/>
      </c>
      <c r="Q195" s="50" t="str">
        <f>IF(AND($X195="change",$H195="EUR"),IF(AND($Z195="Crédit",$N195=$N196),$Q196,IF(AND($Z195="Débit",$N195=$N194),$Q194)),IF(OR(AND(OR($E195&lt;&gt;"",$L195=""),$M195&lt;&gt;0),$A195=""),IFERROR(VLOOKUP($E195,Selection!$E:$F,2,false)),IFERROR(VLOOKUP(SUBSTITUTE($I195,"-","",1),$K196:$Q1119,7,false),VLOOKUP($K195,$K196:$Q1119,7,false))))</f>
        <v/>
      </c>
      <c r="R195" s="49" t="str">
        <f t="shared" si="2"/>
        <v/>
      </c>
      <c r="S195" s="51" t="str">
        <f t="shared" si="3"/>
        <v/>
      </c>
      <c r="T195" s="52" t="str">
        <f t="shared" si="4"/>
        <v/>
      </c>
      <c r="U195" s="46" t="str">
        <f t="shared" si="5"/>
        <v/>
      </c>
      <c r="V195" s="53" t="str">
        <f>IFERROR(__xludf.DUMMYFUNCTION(" IF(Account!$F195&lt;&gt;"""", SPLIT(Account!$F195, "" ""), """")"),"")</f>
        <v/>
      </c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</row>
    <row r="196">
      <c r="A196" s="11"/>
      <c r="B196" s="11"/>
      <c r="C196" s="11"/>
      <c r="D196" s="11"/>
      <c r="E196" s="11"/>
      <c r="F196" s="12"/>
      <c r="G196" s="215"/>
      <c r="H196" s="11"/>
      <c r="I196" s="11"/>
      <c r="J196" s="11"/>
      <c r="K196" s="11"/>
      <c r="L196" s="45" t="str">
        <f t="shared" si="1"/>
        <v/>
      </c>
      <c r="M196" s="46" t="str">
        <f>IFERROR(__xludf.DUMMYFUNCTION("IF(Account!$F196&lt;&gt;"""", VALUE(REGEXREPLACE($I196, ""\,"", ""."")), """")"),"")</f>
        <v/>
      </c>
      <c r="N196" s="47" t="str">
        <f>IF(Account!$F196&lt;&gt;"", DATEVALUE(MID($A196,4,3) &amp; LEFT($A196,3) &amp; RIGHT($A196,4)) + TIMEVALUE($B196), "")</f>
        <v/>
      </c>
      <c r="O196" s="48" t="str">
        <f>IF(Account!$F196&lt;&gt;"", DATEVALUE(MID($A196,4,3) &amp; LEFT($A196,3) &amp; RIGHT($A196,4)), "")</f>
        <v/>
      </c>
      <c r="P196" s="49" t="str">
        <f>IFERROR(VLOOKUP($Q196,Selection!$F:$G,2,false))</f>
        <v/>
      </c>
      <c r="Q196" s="50" t="str">
        <f>IF(AND($X196="change",$H196="EUR"),IF(AND($Z196="Crédit",$N196=$N197),$Q197,IF(AND($Z196="Débit",$N196=$N195),$Q195)),IF(OR(AND(OR($E196&lt;&gt;"",$L196=""),$M196&lt;&gt;0),$A196=""),IFERROR(VLOOKUP($E196,Selection!$E:$F,2,false)),IFERROR(VLOOKUP(SUBSTITUTE($I196,"-","",1),$K197:$Q1119,7,false),VLOOKUP($K196,$K197:$Q1119,7,false))))</f>
        <v/>
      </c>
      <c r="R196" s="49" t="str">
        <f t="shared" si="2"/>
        <v/>
      </c>
      <c r="S196" s="51" t="str">
        <f t="shared" si="3"/>
        <v/>
      </c>
      <c r="T196" s="52" t="str">
        <f t="shared" si="4"/>
        <v/>
      </c>
      <c r="U196" s="46" t="str">
        <f t="shared" si="5"/>
        <v/>
      </c>
      <c r="V196" s="53" t="str">
        <f>IFERROR(__xludf.DUMMYFUNCTION(" IF(Account!$F196&lt;&gt;"""", SPLIT(Account!$F196, "" ""), """")"),"")</f>
        <v/>
      </c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</row>
    <row r="197">
      <c r="A197" s="11"/>
      <c r="B197" s="11"/>
      <c r="C197" s="11"/>
      <c r="D197" s="11"/>
      <c r="E197" s="11"/>
      <c r="F197" s="12"/>
      <c r="G197" s="11"/>
      <c r="H197" s="11"/>
      <c r="I197" s="11"/>
      <c r="J197" s="11"/>
      <c r="K197" s="11"/>
      <c r="L197" s="45" t="str">
        <f t="shared" si="1"/>
        <v/>
      </c>
      <c r="M197" s="46" t="str">
        <f>IFERROR(__xludf.DUMMYFUNCTION("IF(Account!$F197&lt;&gt;"""", VALUE(REGEXREPLACE($I197, ""\,"", ""."")), """")"),"")</f>
        <v/>
      </c>
      <c r="N197" s="47" t="str">
        <f>IF(Account!$F197&lt;&gt;"", DATEVALUE(MID($A197,4,3) &amp; LEFT($A197,3) &amp; RIGHT($A197,4)) + TIMEVALUE($B197), "")</f>
        <v/>
      </c>
      <c r="O197" s="48" t="str">
        <f>IF(Account!$F197&lt;&gt;"", DATEVALUE(MID($A197,4,3) &amp; LEFT($A197,3) &amp; RIGHT($A197,4)), "")</f>
        <v/>
      </c>
      <c r="P197" s="49" t="str">
        <f>IFERROR(VLOOKUP($Q197,Selection!$F:$G,2,false))</f>
        <v/>
      </c>
      <c r="Q197" s="50" t="str">
        <f>IF(AND($X197="change",$H197="EUR"),IF(AND($Z197="Crédit",$N197=$N198),$Q198,IF(AND($Z197="Débit",$N197=$N196),$Q196)),IF(OR(AND(OR($E197&lt;&gt;"",$L197=""),$M197&lt;&gt;0),$A197=""),IFERROR(VLOOKUP($E197,Selection!$E:$F,2,false)),IFERROR(VLOOKUP(SUBSTITUTE($I197,"-","",1),$K198:$Q1119,7,false),VLOOKUP($K197,$K198:$Q1119,7,false))))</f>
        <v/>
      </c>
      <c r="R197" s="49" t="str">
        <f t="shared" si="2"/>
        <v/>
      </c>
      <c r="S197" s="51" t="str">
        <f t="shared" si="3"/>
        <v/>
      </c>
      <c r="T197" s="52" t="str">
        <f t="shared" si="4"/>
        <v/>
      </c>
      <c r="U197" s="46" t="str">
        <f t="shared" si="5"/>
        <v/>
      </c>
      <c r="V197" s="53" t="str">
        <f>IFERROR(__xludf.DUMMYFUNCTION(" IF(Account!$F197&lt;&gt;"""", SPLIT(Account!$F197, "" ""), """")"),"")</f>
        <v/>
      </c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</row>
    <row r="198">
      <c r="A198" s="11"/>
      <c r="B198" s="11"/>
      <c r="C198" s="11"/>
      <c r="D198" s="11"/>
      <c r="E198" s="11"/>
      <c r="F198" s="12"/>
      <c r="G198" s="215"/>
      <c r="H198" s="11"/>
      <c r="I198" s="11"/>
      <c r="J198" s="11"/>
      <c r="K198" s="11"/>
      <c r="L198" s="45" t="str">
        <f t="shared" si="1"/>
        <v/>
      </c>
      <c r="M198" s="46" t="str">
        <f>IFERROR(__xludf.DUMMYFUNCTION("IF(Account!$F198&lt;&gt;"""", VALUE(REGEXREPLACE($I198, ""\,"", ""."")), """")"),"")</f>
        <v/>
      </c>
      <c r="N198" s="47" t="str">
        <f>IF(Account!$F198&lt;&gt;"", DATEVALUE(MID($A198,4,3) &amp; LEFT($A198,3) &amp; RIGHT($A198,4)) + TIMEVALUE($B198), "")</f>
        <v/>
      </c>
      <c r="O198" s="48" t="str">
        <f>IF(Account!$F198&lt;&gt;"", DATEVALUE(MID($A198,4,3) &amp; LEFT($A198,3) &amp; RIGHT($A198,4)), "")</f>
        <v/>
      </c>
      <c r="P198" s="49" t="str">
        <f>IFERROR(VLOOKUP($Q198,Selection!$F:$G,2,false))</f>
        <v/>
      </c>
      <c r="Q198" s="50" t="str">
        <f>IF(AND($X198="change",$H198="EUR"),IF(AND($Z198="Crédit",$N198=$N199),$Q199,IF(AND($Z198="Débit",$N198=$N197),$Q197)),IF(OR(AND(OR($E198&lt;&gt;"",$L198=""),$M198&lt;&gt;0),$A198=""),IFERROR(VLOOKUP($E198,Selection!$E:$F,2,false)),IFERROR(VLOOKUP(SUBSTITUTE($I198,"-","",1),$K199:$Q1119,7,false),VLOOKUP($K198,$K199:$Q1119,7,false))))</f>
        <v/>
      </c>
      <c r="R198" s="49" t="str">
        <f t="shared" si="2"/>
        <v/>
      </c>
      <c r="S198" s="51" t="str">
        <f t="shared" si="3"/>
        <v/>
      </c>
      <c r="T198" s="52" t="str">
        <f t="shared" si="4"/>
        <v/>
      </c>
      <c r="U198" s="46" t="str">
        <f t="shared" si="5"/>
        <v/>
      </c>
      <c r="V198" s="53" t="str">
        <f>IFERROR(__xludf.DUMMYFUNCTION(" IF(Account!$F198&lt;&gt;"""", SPLIT(Account!$F198, "" ""), """")"),"")</f>
        <v/>
      </c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</row>
    <row r="199">
      <c r="A199" s="11"/>
      <c r="B199" s="11"/>
      <c r="C199" s="11"/>
      <c r="D199" s="11"/>
      <c r="E199" s="11"/>
      <c r="F199" s="12"/>
      <c r="G199" s="11"/>
      <c r="H199" s="11"/>
      <c r="I199" s="11"/>
      <c r="J199" s="11"/>
      <c r="K199" s="11"/>
      <c r="L199" s="45" t="str">
        <f t="shared" si="1"/>
        <v/>
      </c>
      <c r="M199" s="46" t="str">
        <f>IFERROR(__xludf.DUMMYFUNCTION("IF(Account!$F199&lt;&gt;"""", VALUE(REGEXREPLACE($I199, ""\,"", ""."")), """")"),"")</f>
        <v/>
      </c>
      <c r="N199" s="47" t="str">
        <f>IF(Account!$F199&lt;&gt;"", DATEVALUE(MID($A199,4,3) &amp; LEFT($A199,3) &amp; RIGHT($A199,4)) + TIMEVALUE($B199), "")</f>
        <v/>
      </c>
      <c r="O199" s="48" t="str">
        <f>IF(Account!$F199&lt;&gt;"", DATEVALUE(MID($A199,4,3) &amp; LEFT($A199,3) &amp; RIGHT($A199,4)), "")</f>
        <v/>
      </c>
      <c r="P199" s="49" t="str">
        <f>IFERROR(VLOOKUP($Q199,Selection!$F:$G,2,false))</f>
        <v/>
      </c>
      <c r="Q199" s="50" t="str">
        <f>IF(AND($X199="change",$H199="EUR"),IF(AND($Z199="Crédit",$N199=$N200),$Q200,IF(AND($Z199="Débit",$N199=$N198),$Q198)),IF(OR(AND(OR($E199&lt;&gt;"",$L199=""),$M199&lt;&gt;0),$A199=""),IFERROR(VLOOKUP($E199,Selection!$E:$F,2,false)),IFERROR(VLOOKUP(SUBSTITUTE($I199,"-","",1),$K200:$Q1119,7,false),VLOOKUP($K199,$K200:$Q1119,7,false))))</f>
        <v/>
      </c>
      <c r="R199" s="49" t="str">
        <f t="shared" si="2"/>
        <v/>
      </c>
      <c r="S199" s="51" t="str">
        <f t="shared" si="3"/>
        <v/>
      </c>
      <c r="T199" s="52" t="str">
        <f t="shared" si="4"/>
        <v/>
      </c>
      <c r="U199" s="46" t="str">
        <f t="shared" si="5"/>
        <v/>
      </c>
      <c r="V199" s="53" t="str">
        <f>IFERROR(__xludf.DUMMYFUNCTION(" IF(Account!$F199&lt;&gt;"""", SPLIT(Account!$F199, "" ""), """")"),"")</f>
        <v/>
      </c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</row>
    <row r="200">
      <c r="A200" s="11"/>
      <c r="B200" s="11"/>
      <c r="C200" s="11"/>
      <c r="D200" s="11"/>
      <c r="E200" s="11"/>
      <c r="F200" s="12"/>
      <c r="G200" s="215"/>
      <c r="H200" s="11"/>
      <c r="I200" s="11"/>
      <c r="J200" s="11"/>
      <c r="K200" s="11"/>
      <c r="L200" s="45" t="str">
        <f t="shared" si="1"/>
        <v/>
      </c>
      <c r="M200" s="46" t="str">
        <f>IFERROR(__xludf.DUMMYFUNCTION("IF(Account!$F200&lt;&gt;"""", VALUE(REGEXREPLACE($I200, ""\,"", ""."")), """")"),"")</f>
        <v/>
      </c>
      <c r="N200" s="47" t="str">
        <f>IF(Account!$F200&lt;&gt;"", DATEVALUE(MID($A200,4,3) &amp; LEFT($A200,3) &amp; RIGHT($A200,4)) + TIMEVALUE($B200), "")</f>
        <v/>
      </c>
      <c r="O200" s="48" t="str">
        <f>IF(Account!$F200&lt;&gt;"", DATEVALUE(MID($A200,4,3) &amp; LEFT($A200,3) &amp; RIGHT($A200,4)), "")</f>
        <v/>
      </c>
      <c r="P200" s="49" t="str">
        <f>IFERROR(VLOOKUP($Q200,Selection!$F:$G,2,false))</f>
        <v/>
      </c>
      <c r="Q200" s="50" t="str">
        <f>IF(AND($X200="change",$H200="EUR"),IF(AND($Z200="Crédit",$N200=$N201),$Q201,IF(AND($Z200="Débit",$N200=$N199),$Q199)),IF(OR(AND(OR($E200&lt;&gt;"",$L200=""),$M200&lt;&gt;0),$A200=""),IFERROR(VLOOKUP($E200,Selection!$E:$F,2,false)),IFERROR(VLOOKUP(SUBSTITUTE($I200,"-","",1),$K201:$Q1119,7,false),VLOOKUP($K200,$K201:$Q1119,7,false))))</f>
        <v/>
      </c>
      <c r="R200" s="49" t="str">
        <f t="shared" si="2"/>
        <v/>
      </c>
      <c r="S200" s="51" t="str">
        <f t="shared" si="3"/>
        <v/>
      </c>
      <c r="T200" s="52" t="str">
        <f t="shared" si="4"/>
        <v/>
      </c>
      <c r="U200" s="46" t="str">
        <f t="shared" si="5"/>
        <v/>
      </c>
      <c r="V200" s="53" t="str">
        <f>IFERROR(__xludf.DUMMYFUNCTION(" IF(Account!$F200&lt;&gt;"""", SPLIT(Account!$F200, "" ""), """")"),"")</f>
        <v/>
      </c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</row>
    <row r="201">
      <c r="A201" s="11"/>
      <c r="B201" s="11"/>
      <c r="C201" s="11"/>
      <c r="D201" s="11"/>
      <c r="E201" s="11"/>
      <c r="F201" s="12"/>
      <c r="G201" s="11"/>
      <c r="H201" s="11"/>
      <c r="I201" s="11"/>
      <c r="J201" s="11"/>
      <c r="K201" s="11"/>
      <c r="L201" s="45" t="str">
        <f t="shared" si="1"/>
        <v/>
      </c>
      <c r="M201" s="46" t="str">
        <f>IFERROR(__xludf.DUMMYFUNCTION("IF(Account!$F201&lt;&gt;"""", VALUE(REGEXREPLACE($I201, ""\,"", ""."")), """")"),"")</f>
        <v/>
      </c>
      <c r="N201" s="47" t="str">
        <f>IF(Account!$F201&lt;&gt;"", DATEVALUE(MID($A201,4,3) &amp; LEFT($A201,3) &amp; RIGHT($A201,4)) + TIMEVALUE($B201), "")</f>
        <v/>
      </c>
      <c r="O201" s="48" t="str">
        <f>IF(Account!$F201&lt;&gt;"", DATEVALUE(MID($A201,4,3) &amp; LEFT($A201,3) &amp; RIGHT($A201,4)), "")</f>
        <v/>
      </c>
      <c r="P201" s="49" t="str">
        <f>IFERROR(VLOOKUP($Q201,Selection!$F:$G,2,false))</f>
        <v/>
      </c>
      <c r="Q201" s="50" t="str">
        <f>IF(AND($X201="change",$H201="EUR"),IF(AND($Z201="Crédit",$N201=$N202),$Q202,IF(AND($Z201="Débit",$N201=$N200),$Q200)),IF(OR(AND(OR($E201&lt;&gt;"",$L201=""),$M201&lt;&gt;0),$A201=""),IFERROR(VLOOKUP($E201,Selection!$E:$F,2,false)),IFERROR(VLOOKUP(SUBSTITUTE($I201,"-","",1),$K202:$Q1119,7,false),VLOOKUP($K201,$K202:$Q1119,7,false))))</f>
        <v/>
      </c>
      <c r="R201" s="49" t="str">
        <f t="shared" si="2"/>
        <v/>
      </c>
      <c r="S201" s="51" t="str">
        <f t="shared" si="3"/>
        <v/>
      </c>
      <c r="T201" s="52" t="str">
        <f t="shared" si="4"/>
        <v/>
      </c>
      <c r="U201" s="46" t="str">
        <f t="shared" si="5"/>
        <v/>
      </c>
      <c r="V201" s="53" t="str">
        <f>IFERROR(__xludf.DUMMYFUNCTION(" IF(Account!$F201&lt;&gt;"""", SPLIT(Account!$F201, "" ""), """")"),"")</f>
        <v/>
      </c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</row>
    <row r="202">
      <c r="A202" s="11"/>
      <c r="B202" s="11"/>
      <c r="C202" s="11"/>
      <c r="D202" s="11"/>
      <c r="E202" s="11"/>
      <c r="F202" s="12"/>
      <c r="G202" s="11"/>
      <c r="H202" s="11"/>
      <c r="I202" s="11"/>
      <c r="J202" s="11"/>
      <c r="K202" s="11"/>
      <c r="L202" s="45" t="str">
        <f t="shared" si="1"/>
        <v/>
      </c>
      <c r="M202" s="46" t="str">
        <f>IFERROR(__xludf.DUMMYFUNCTION("IF(Account!$F202&lt;&gt;"""", VALUE(REGEXREPLACE($I202, ""\,"", ""."")), """")"),"")</f>
        <v/>
      </c>
      <c r="N202" s="47" t="str">
        <f>IF(Account!$F202&lt;&gt;"", DATEVALUE(MID($A202,4,3) &amp; LEFT($A202,3) &amp; RIGHT($A202,4)) + TIMEVALUE($B202), "")</f>
        <v/>
      </c>
      <c r="O202" s="48" t="str">
        <f>IF(Account!$F202&lt;&gt;"", DATEVALUE(MID($A202,4,3) &amp; LEFT($A202,3) &amp; RIGHT($A202,4)), "")</f>
        <v/>
      </c>
      <c r="P202" s="49" t="str">
        <f>IFERROR(VLOOKUP($Q202,Selection!$F:$G,2,false))</f>
        <v/>
      </c>
      <c r="Q202" s="50" t="str">
        <f>IF(AND($X202="change",$H202="EUR"),IF(AND($Z202="Crédit",$N202=$N203),$Q203,IF(AND($Z202="Débit",$N202=$N201),$Q201)),IF(OR(AND(OR($E202&lt;&gt;"",$L202=""),$M202&lt;&gt;0),$A202=""),IFERROR(VLOOKUP($E202,Selection!$E:$F,2,false)),IFERROR(VLOOKUP(SUBSTITUTE($I202,"-","",1),$K203:$Q1119,7,false),VLOOKUP($K202,$K203:$Q1119,7,false))))</f>
        <v/>
      </c>
      <c r="R202" s="49" t="str">
        <f t="shared" si="2"/>
        <v/>
      </c>
      <c r="S202" s="51" t="str">
        <f t="shared" si="3"/>
        <v/>
      </c>
      <c r="T202" s="52" t="str">
        <f t="shared" si="4"/>
        <v/>
      </c>
      <c r="U202" s="46" t="str">
        <f t="shared" si="5"/>
        <v/>
      </c>
      <c r="V202" s="53" t="str">
        <f>IFERROR(__xludf.DUMMYFUNCTION(" IF(Account!$F202&lt;&gt;"""", SPLIT(Account!$F202, "" ""), """")"),"")</f>
        <v/>
      </c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</row>
    <row r="203">
      <c r="A203" s="11"/>
      <c r="B203" s="11"/>
      <c r="C203" s="11"/>
      <c r="D203" s="11"/>
      <c r="E203" s="11"/>
      <c r="F203" s="12"/>
      <c r="G203" s="11"/>
      <c r="H203" s="11"/>
      <c r="I203" s="11"/>
      <c r="J203" s="11"/>
      <c r="K203" s="11"/>
      <c r="L203" s="45" t="str">
        <f t="shared" si="1"/>
        <v/>
      </c>
      <c r="M203" s="46" t="str">
        <f>IFERROR(__xludf.DUMMYFUNCTION("IF(Account!$F203&lt;&gt;"""", VALUE(REGEXREPLACE($I203, ""\,"", ""."")), """")"),"")</f>
        <v/>
      </c>
      <c r="N203" s="47" t="str">
        <f>IF(Account!$F203&lt;&gt;"", DATEVALUE(MID($A203,4,3) &amp; LEFT($A203,3) &amp; RIGHT($A203,4)) + TIMEVALUE($B203), "")</f>
        <v/>
      </c>
      <c r="O203" s="48" t="str">
        <f>IF(Account!$F203&lt;&gt;"", DATEVALUE(MID($A203,4,3) &amp; LEFT($A203,3) &amp; RIGHT($A203,4)), "")</f>
        <v/>
      </c>
      <c r="P203" s="49" t="str">
        <f>IFERROR(VLOOKUP($Q203,Selection!$F:$G,2,false))</f>
        <v/>
      </c>
      <c r="Q203" s="50" t="str">
        <f>IF(AND($X203="change",$H203="EUR"),IF(AND($Z203="Crédit",$N203=$N204),$Q204,IF(AND($Z203="Débit",$N203=$N202),$Q202)),IF(OR(AND(OR($E203&lt;&gt;"",$L203=""),$M203&lt;&gt;0),$A203=""),IFERROR(VLOOKUP($E203,Selection!$E:$F,2,false)),IFERROR(VLOOKUP(SUBSTITUTE($I203,"-","",1),$K204:$Q1119,7,false),VLOOKUP($K203,$K204:$Q1119,7,false))))</f>
        <v/>
      </c>
      <c r="R203" s="49" t="str">
        <f t="shared" si="2"/>
        <v/>
      </c>
      <c r="S203" s="51" t="str">
        <f t="shared" si="3"/>
        <v/>
      </c>
      <c r="T203" s="52" t="str">
        <f t="shared" si="4"/>
        <v/>
      </c>
      <c r="U203" s="46" t="str">
        <f t="shared" si="5"/>
        <v/>
      </c>
      <c r="V203" s="53" t="str">
        <f>IFERROR(__xludf.DUMMYFUNCTION(" IF(Account!$F203&lt;&gt;"""", SPLIT(Account!$F203, "" ""), """")"),"")</f>
        <v/>
      </c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</row>
    <row r="204">
      <c r="A204" s="11"/>
      <c r="B204" s="11"/>
      <c r="C204" s="11"/>
      <c r="D204" s="11"/>
      <c r="E204" s="11"/>
      <c r="F204" s="12"/>
      <c r="G204" s="215"/>
      <c r="H204" s="11"/>
      <c r="I204" s="11"/>
      <c r="J204" s="11"/>
      <c r="K204" s="11"/>
      <c r="L204" s="45" t="str">
        <f t="shared" si="1"/>
        <v/>
      </c>
      <c r="M204" s="46" t="str">
        <f>IFERROR(__xludf.DUMMYFUNCTION("IF(Account!$F204&lt;&gt;"""", VALUE(REGEXREPLACE($I204, ""\,"", ""."")), """")"),"")</f>
        <v/>
      </c>
      <c r="N204" s="47" t="str">
        <f>IF(Account!$F204&lt;&gt;"", DATEVALUE(MID($A204,4,3) &amp; LEFT($A204,3) &amp; RIGHT($A204,4)) + TIMEVALUE($B204), "")</f>
        <v/>
      </c>
      <c r="O204" s="48" t="str">
        <f>IF(Account!$F204&lt;&gt;"", DATEVALUE(MID($A204,4,3) &amp; LEFT($A204,3) &amp; RIGHT($A204,4)), "")</f>
        <v/>
      </c>
      <c r="P204" s="49" t="str">
        <f>IFERROR(VLOOKUP($Q204,Selection!$F:$G,2,false))</f>
        <v/>
      </c>
      <c r="Q204" s="50" t="str">
        <f>IF(AND($X204="change",$H204="EUR"),IF(AND($Z204="Crédit",$N204=$N205),$Q205,IF(AND($Z204="Débit",$N204=$N203),$Q203)),IF(OR(AND(OR($E204&lt;&gt;"",$L204=""),$M204&lt;&gt;0),$A204=""),IFERROR(VLOOKUP($E204,Selection!$E:$F,2,false)),IFERROR(VLOOKUP(SUBSTITUTE($I204,"-","",1),$K205:$Q1119,7,false),VLOOKUP($K204,$K205:$Q1119,7,false))))</f>
        <v/>
      </c>
      <c r="R204" s="49" t="str">
        <f t="shared" si="2"/>
        <v/>
      </c>
      <c r="S204" s="51" t="str">
        <f t="shared" si="3"/>
        <v/>
      </c>
      <c r="T204" s="52" t="str">
        <f t="shared" si="4"/>
        <v/>
      </c>
      <c r="U204" s="46" t="str">
        <f t="shared" si="5"/>
        <v/>
      </c>
      <c r="V204" s="53" t="str">
        <f>IFERROR(__xludf.DUMMYFUNCTION(" IF(Account!$F204&lt;&gt;"""", SPLIT(Account!$F204, "" ""), """")"),"")</f>
        <v/>
      </c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</row>
    <row r="205">
      <c r="A205" s="11"/>
      <c r="B205" s="11"/>
      <c r="C205" s="11"/>
      <c r="D205" s="11"/>
      <c r="E205" s="11"/>
      <c r="F205" s="12"/>
      <c r="G205" s="11"/>
      <c r="H205" s="11"/>
      <c r="I205" s="11"/>
      <c r="J205" s="11"/>
      <c r="K205" s="11"/>
      <c r="L205" s="45" t="str">
        <f t="shared" si="1"/>
        <v/>
      </c>
      <c r="M205" s="46" t="str">
        <f>IFERROR(__xludf.DUMMYFUNCTION("IF(Account!$F205&lt;&gt;"""", VALUE(REGEXREPLACE($I205, ""\,"", ""."")), """")"),"")</f>
        <v/>
      </c>
      <c r="N205" s="47" t="str">
        <f>IF(Account!$F205&lt;&gt;"", DATEVALUE(MID($A205,4,3) &amp; LEFT($A205,3) &amp; RIGHT($A205,4)) + TIMEVALUE($B205), "")</f>
        <v/>
      </c>
      <c r="O205" s="48" t="str">
        <f>IF(Account!$F205&lt;&gt;"", DATEVALUE(MID($A205,4,3) &amp; LEFT($A205,3) &amp; RIGHT($A205,4)), "")</f>
        <v/>
      </c>
      <c r="P205" s="49" t="str">
        <f>IFERROR(VLOOKUP($Q205,Selection!$F:$G,2,false))</f>
        <v/>
      </c>
      <c r="Q205" s="50" t="str">
        <f>IF(AND($X205="change",$H205="EUR"),IF(AND($Z205="Crédit",$N205=$N206),$Q206,IF(AND($Z205="Débit",$N205=$N204),$Q204)),IF(OR(AND(OR($E205&lt;&gt;"",$L205=""),$M205&lt;&gt;0),$A205=""),IFERROR(VLOOKUP($E205,Selection!$E:$F,2,false)),IFERROR(VLOOKUP(SUBSTITUTE($I205,"-","",1),$K206:$Q1119,7,false),VLOOKUP($K205,$K206:$Q1119,7,false))))</f>
        <v/>
      </c>
      <c r="R205" s="49" t="str">
        <f t="shared" si="2"/>
        <v/>
      </c>
      <c r="S205" s="51" t="str">
        <f t="shared" si="3"/>
        <v/>
      </c>
      <c r="T205" s="52" t="str">
        <f t="shared" si="4"/>
        <v/>
      </c>
      <c r="U205" s="46" t="str">
        <f t="shared" si="5"/>
        <v/>
      </c>
      <c r="V205" s="53" t="str">
        <f>IFERROR(__xludf.DUMMYFUNCTION(" IF(Account!$F205&lt;&gt;"""", SPLIT(Account!$F205, "" ""), """")"),"")</f>
        <v/>
      </c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</row>
    <row r="206">
      <c r="A206" s="11"/>
      <c r="B206" s="11"/>
      <c r="C206" s="11"/>
      <c r="D206" s="11"/>
      <c r="E206" s="11"/>
      <c r="F206" s="12"/>
      <c r="G206" s="11"/>
      <c r="H206" s="11"/>
      <c r="I206" s="11"/>
      <c r="J206" s="11"/>
      <c r="K206" s="11"/>
      <c r="L206" s="45" t="str">
        <f t="shared" si="1"/>
        <v/>
      </c>
      <c r="M206" s="46" t="str">
        <f>IFERROR(__xludf.DUMMYFUNCTION("IF(Account!$F206&lt;&gt;"""", VALUE(REGEXREPLACE($I206, ""\,"", ""."")), """")"),"")</f>
        <v/>
      </c>
      <c r="N206" s="47" t="str">
        <f>IF(Account!$F206&lt;&gt;"", DATEVALUE(MID($A206,4,3) &amp; LEFT($A206,3) &amp; RIGHT($A206,4)) + TIMEVALUE($B206), "")</f>
        <v/>
      </c>
      <c r="O206" s="48" t="str">
        <f>IF(Account!$F206&lt;&gt;"", DATEVALUE(MID($A206,4,3) &amp; LEFT($A206,3) &amp; RIGHT($A206,4)), "")</f>
        <v/>
      </c>
      <c r="P206" s="49" t="str">
        <f>IFERROR(VLOOKUP($Q206,Selection!$F:$G,2,false))</f>
        <v/>
      </c>
      <c r="Q206" s="50" t="str">
        <f>IF(AND($X206="change",$H206="EUR"),IF(AND($Z206="Crédit",$N206=$N207),$Q207,IF(AND($Z206="Débit",$N206=$N205),$Q205)),IF(OR(AND(OR($E206&lt;&gt;"",$L206=""),$M206&lt;&gt;0),$A206=""),IFERROR(VLOOKUP($E206,Selection!$E:$F,2,false)),IFERROR(VLOOKUP(SUBSTITUTE($I206,"-","",1),$K207:$Q1119,7,false),VLOOKUP($K206,$K207:$Q1119,7,false))))</f>
        <v/>
      </c>
      <c r="R206" s="49" t="str">
        <f t="shared" si="2"/>
        <v/>
      </c>
      <c r="S206" s="51" t="str">
        <f t="shared" si="3"/>
        <v/>
      </c>
      <c r="T206" s="52" t="str">
        <f t="shared" si="4"/>
        <v/>
      </c>
      <c r="U206" s="46" t="str">
        <f t="shared" si="5"/>
        <v/>
      </c>
      <c r="V206" s="53" t="str">
        <f>IFERROR(__xludf.DUMMYFUNCTION(" IF(Account!$F206&lt;&gt;"""", SPLIT(Account!$F206, "" ""), """")"),"")</f>
        <v/>
      </c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</row>
    <row r="207">
      <c r="A207" s="11"/>
      <c r="B207" s="11"/>
      <c r="C207" s="11"/>
      <c r="D207" s="11"/>
      <c r="E207" s="11"/>
      <c r="F207" s="12"/>
      <c r="G207" s="11"/>
      <c r="H207" s="11"/>
      <c r="I207" s="11"/>
      <c r="J207" s="11"/>
      <c r="K207" s="11"/>
      <c r="L207" s="45" t="str">
        <f t="shared" si="1"/>
        <v/>
      </c>
      <c r="M207" s="46" t="str">
        <f>IFERROR(__xludf.DUMMYFUNCTION("IF(Account!$F207&lt;&gt;"""", VALUE(REGEXREPLACE($I207, ""\,"", ""."")), """")"),"")</f>
        <v/>
      </c>
      <c r="N207" s="47" t="str">
        <f>IF(Account!$F207&lt;&gt;"", DATEVALUE(MID($A207,4,3) &amp; LEFT($A207,3) &amp; RIGHT($A207,4)) + TIMEVALUE($B207), "")</f>
        <v/>
      </c>
      <c r="O207" s="48" t="str">
        <f>IF(Account!$F207&lt;&gt;"", DATEVALUE(MID($A207,4,3) &amp; LEFT($A207,3) &amp; RIGHT($A207,4)), "")</f>
        <v/>
      </c>
      <c r="P207" s="49" t="str">
        <f>IFERROR(VLOOKUP($Q207,Selection!$F:$G,2,false))</f>
        <v/>
      </c>
      <c r="Q207" s="50" t="str">
        <f>IF(AND($X207="change",$H207="EUR"),IF(AND($Z207="Crédit",$N207=$N208),$Q208,IF(AND($Z207="Débit",$N207=$N206),$Q206)),IF(OR(AND(OR($E207&lt;&gt;"",$L207=""),$M207&lt;&gt;0),$A207=""),IFERROR(VLOOKUP($E207,Selection!$E:$F,2,false)),IFERROR(VLOOKUP(SUBSTITUTE($I207,"-","",1),$K208:$Q1119,7,false),VLOOKUP($K207,$K208:$Q1119,7,false))))</f>
        <v/>
      </c>
      <c r="R207" s="49" t="str">
        <f t="shared" si="2"/>
        <v/>
      </c>
      <c r="S207" s="51" t="str">
        <f t="shared" si="3"/>
        <v/>
      </c>
      <c r="T207" s="52" t="str">
        <f t="shared" si="4"/>
        <v/>
      </c>
      <c r="U207" s="46" t="str">
        <f t="shared" si="5"/>
        <v/>
      </c>
      <c r="V207" s="53" t="str">
        <f>IFERROR(__xludf.DUMMYFUNCTION(" IF(Account!$F207&lt;&gt;"""", SPLIT(Account!$F207, "" ""), """")"),"")</f>
        <v/>
      </c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</row>
    <row r="208">
      <c r="A208" s="11"/>
      <c r="B208" s="11"/>
      <c r="C208" s="11"/>
      <c r="D208" s="11"/>
      <c r="E208" s="11"/>
      <c r="F208" s="12"/>
      <c r="G208" s="11"/>
      <c r="H208" s="11"/>
      <c r="I208" s="11"/>
      <c r="J208" s="11"/>
      <c r="K208" s="11"/>
      <c r="L208" s="45" t="str">
        <f t="shared" si="1"/>
        <v/>
      </c>
      <c r="M208" s="46" t="str">
        <f>IFERROR(__xludf.DUMMYFUNCTION("IF(Account!$F208&lt;&gt;"""", VALUE(REGEXREPLACE($I208, ""\,"", ""."")), """")"),"")</f>
        <v/>
      </c>
      <c r="N208" s="47" t="str">
        <f>IF(Account!$F208&lt;&gt;"", DATEVALUE(MID($A208,4,3) &amp; LEFT($A208,3) &amp; RIGHT($A208,4)) + TIMEVALUE($B208), "")</f>
        <v/>
      </c>
      <c r="O208" s="48" t="str">
        <f>IF(Account!$F208&lt;&gt;"", DATEVALUE(MID($A208,4,3) &amp; LEFT($A208,3) &amp; RIGHT($A208,4)), "")</f>
        <v/>
      </c>
      <c r="P208" s="49" t="str">
        <f>IFERROR(VLOOKUP($Q208,Selection!$F:$G,2,false))</f>
        <v/>
      </c>
      <c r="Q208" s="50" t="str">
        <f>IF(AND($X208="change",$H208="EUR"),IF(AND($Z208="Crédit",$N208=$N209),$Q209,IF(AND($Z208="Débit",$N208=$N207),$Q207)),IF(OR(AND(OR($E208&lt;&gt;"",$L208=""),$M208&lt;&gt;0),$A208=""),IFERROR(VLOOKUP($E208,Selection!$E:$F,2,false)),IFERROR(VLOOKUP(SUBSTITUTE($I208,"-","",1),$K209:$Q1119,7,false),VLOOKUP($K208,$K209:$Q1119,7,false))))</f>
        <v/>
      </c>
      <c r="R208" s="49" t="str">
        <f t="shared" si="2"/>
        <v/>
      </c>
      <c r="S208" s="51" t="str">
        <f t="shared" si="3"/>
        <v/>
      </c>
      <c r="T208" s="52" t="str">
        <f t="shared" si="4"/>
        <v/>
      </c>
      <c r="U208" s="46" t="str">
        <f t="shared" si="5"/>
        <v/>
      </c>
      <c r="V208" s="53" t="str">
        <f>IFERROR(__xludf.DUMMYFUNCTION(" IF(Account!$F208&lt;&gt;"""", SPLIT(Account!$F208, "" ""), """")"),"")</f>
        <v/>
      </c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</row>
    <row r="209">
      <c r="A209" s="11"/>
      <c r="B209" s="11"/>
      <c r="C209" s="11"/>
      <c r="D209" s="11"/>
      <c r="E209" s="11"/>
      <c r="F209" s="12"/>
      <c r="G209" s="11"/>
      <c r="H209" s="11"/>
      <c r="I209" s="11"/>
      <c r="J209" s="11"/>
      <c r="K209" s="11"/>
      <c r="L209" s="45" t="str">
        <f t="shared" si="1"/>
        <v/>
      </c>
      <c r="M209" s="46" t="str">
        <f>IFERROR(__xludf.DUMMYFUNCTION("IF(Account!$F209&lt;&gt;"""", VALUE(REGEXREPLACE($I209, ""\,"", ""."")), """")"),"")</f>
        <v/>
      </c>
      <c r="N209" s="47" t="str">
        <f>IF(Account!$F209&lt;&gt;"", DATEVALUE(MID($A209,4,3) &amp; LEFT($A209,3) &amp; RIGHT($A209,4)) + TIMEVALUE($B209), "")</f>
        <v/>
      </c>
      <c r="O209" s="48" t="str">
        <f>IF(Account!$F209&lt;&gt;"", DATEVALUE(MID($A209,4,3) &amp; LEFT($A209,3) &amp; RIGHT($A209,4)), "")</f>
        <v/>
      </c>
      <c r="P209" s="49" t="str">
        <f>IFERROR(VLOOKUP($Q209,Selection!$F:$G,2,false))</f>
        <v/>
      </c>
      <c r="Q209" s="50" t="str">
        <f>IF(AND($X209="change",$H209="EUR"),IF(AND($Z209="Crédit",$N209=$N210),$Q210,IF(AND($Z209="Débit",$N209=$N208),$Q208)),IF(OR(AND(OR($E209&lt;&gt;"",$L209=""),$M209&lt;&gt;0),$A209=""),IFERROR(VLOOKUP($E209,Selection!$E:$F,2,false)),IFERROR(VLOOKUP(SUBSTITUTE($I209,"-","",1),$K210:$Q1119,7,false),VLOOKUP($K209,$K210:$Q1119,7,false))))</f>
        <v/>
      </c>
      <c r="R209" s="49" t="str">
        <f t="shared" si="2"/>
        <v/>
      </c>
      <c r="S209" s="51" t="str">
        <f t="shared" si="3"/>
        <v/>
      </c>
      <c r="T209" s="52" t="str">
        <f t="shared" si="4"/>
        <v/>
      </c>
      <c r="U209" s="46" t="str">
        <f t="shared" si="5"/>
        <v/>
      </c>
      <c r="V209" s="53" t="str">
        <f>IFERROR(__xludf.DUMMYFUNCTION(" IF(Account!$F209&lt;&gt;"""", SPLIT(Account!$F209, "" ""), """")"),"")</f>
        <v/>
      </c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</row>
    <row r="210">
      <c r="A210" s="11"/>
      <c r="B210" s="11"/>
      <c r="C210" s="11"/>
      <c r="D210" s="11"/>
      <c r="E210" s="11"/>
      <c r="F210" s="12"/>
      <c r="G210" s="11"/>
      <c r="H210" s="11"/>
      <c r="I210" s="11"/>
      <c r="J210" s="11"/>
      <c r="K210" s="11"/>
      <c r="L210" s="45" t="str">
        <f t="shared" si="1"/>
        <v/>
      </c>
      <c r="M210" s="46" t="str">
        <f>IFERROR(__xludf.DUMMYFUNCTION("IF(Account!$F210&lt;&gt;"""", VALUE(REGEXREPLACE($I210, ""\,"", ""."")), """")"),"")</f>
        <v/>
      </c>
      <c r="N210" s="47" t="str">
        <f>IF(Account!$F210&lt;&gt;"", DATEVALUE(MID($A210,4,3) &amp; LEFT($A210,3) &amp; RIGHT($A210,4)) + TIMEVALUE($B210), "")</f>
        <v/>
      </c>
      <c r="O210" s="48" t="str">
        <f>IF(Account!$F210&lt;&gt;"", DATEVALUE(MID($A210,4,3) &amp; LEFT($A210,3) &amp; RIGHT($A210,4)), "")</f>
        <v/>
      </c>
      <c r="P210" s="49" t="str">
        <f>IFERROR(VLOOKUP($Q210,Selection!$F:$G,2,false))</f>
        <v/>
      </c>
      <c r="Q210" s="50" t="str">
        <f>IF(AND($X210="change",$H210="EUR"),IF(AND($Z210="Crédit",$N210=$N211),$Q211,IF(AND($Z210="Débit",$N210=$N209),$Q209)),IF(OR(AND(OR($E210&lt;&gt;"",$L210=""),$M210&lt;&gt;0),$A210=""),IFERROR(VLOOKUP($E210,Selection!$E:$F,2,false)),IFERROR(VLOOKUP(SUBSTITUTE($I210,"-","",1),$K211:$Q1119,7,false),VLOOKUP($K210,$K211:$Q1119,7,false))))</f>
        <v/>
      </c>
      <c r="R210" s="49" t="str">
        <f t="shared" si="2"/>
        <v/>
      </c>
      <c r="S210" s="51" t="str">
        <f t="shared" si="3"/>
        <v/>
      </c>
      <c r="T210" s="52" t="str">
        <f t="shared" si="4"/>
        <v/>
      </c>
      <c r="U210" s="46" t="str">
        <f t="shared" si="5"/>
        <v/>
      </c>
      <c r="V210" s="53" t="str">
        <f>IFERROR(__xludf.DUMMYFUNCTION(" IF(Account!$F210&lt;&gt;"""", SPLIT(Account!$F210, "" ""), """")"),"")</f>
        <v/>
      </c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</row>
    <row r="211">
      <c r="A211" s="11"/>
      <c r="B211" s="11"/>
      <c r="C211" s="11"/>
      <c r="D211" s="11"/>
      <c r="E211" s="11"/>
      <c r="F211" s="12"/>
      <c r="G211" s="11"/>
      <c r="H211" s="11"/>
      <c r="I211" s="11"/>
      <c r="J211" s="11"/>
      <c r="K211" s="11"/>
      <c r="L211" s="45" t="str">
        <f t="shared" si="1"/>
        <v/>
      </c>
      <c r="M211" s="46" t="str">
        <f>IFERROR(__xludf.DUMMYFUNCTION("IF(Account!$F211&lt;&gt;"""", VALUE(REGEXREPLACE($I211, ""\,"", ""."")), """")"),"")</f>
        <v/>
      </c>
      <c r="N211" s="47" t="str">
        <f>IF(Account!$F211&lt;&gt;"", DATEVALUE(MID($A211,4,3) &amp; LEFT($A211,3) &amp; RIGHT($A211,4)) + TIMEVALUE($B211), "")</f>
        <v/>
      </c>
      <c r="O211" s="48" t="str">
        <f>IF(Account!$F211&lt;&gt;"", DATEVALUE(MID($A211,4,3) &amp; LEFT($A211,3) &amp; RIGHT($A211,4)), "")</f>
        <v/>
      </c>
      <c r="P211" s="49" t="str">
        <f>IFERROR(VLOOKUP($Q211,Selection!$F:$G,2,false))</f>
        <v/>
      </c>
      <c r="Q211" s="50" t="str">
        <f>IF(AND($X211="change",$H211="EUR"),IF(AND($Z211="Crédit",$N211=$N212),$Q212,IF(AND($Z211="Débit",$N211=$N210),$Q210)),IF(OR(AND(OR($E211&lt;&gt;"",$L211=""),$M211&lt;&gt;0),$A211=""),IFERROR(VLOOKUP($E211,Selection!$E:$F,2,false)),IFERROR(VLOOKUP(SUBSTITUTE($I211,"-","",1),$K212:$Q1119,7,false),VLOOKUP($K211,$K212:$Q1119,7,false))))</f>
        <v/>
      </c>
      <c r="R211" s="49" t="str">
        <f t="shared" si="2"/>
        <v/>
      </c>
      <c r="S211" s="51" t="str">
        <f t="shared" si="3"/>
        <v/>
      </c>
      <c r="T211" s="52" t="str">
        <f t="shared" si="4"/>
        <v/>
      </c>
      <c r="U211" s="46" t="str">
        <f t="shared" si="5"/>
        <v/>
      </c>
      <c r="V211" s="53" t="str">
        <f>IFERROR(__xludf.DUMMYFUNCTION(" IF(Account!$F211&lt;&gt;"""", SPLIT(Account!$F211, "" ""), """")"),"")</f>
        <v/>
      </c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</row>
    <row r="212">
      <c r="A212" s="11"/>
      <c r="B212" s="11"/>
      <c r="C212" s="11"/>
      <c r="D212" s="11"/>
      <c r="E212" s="11"/>
      <c r="F212" s="12"/>
      <c r="G212" s="11"/>
      <c r="H212" s="11"/>
      <c r="I212" s="11"/>
      <c r="J212" s="11"/>
      <c r="K212" s="11"/>
      <c r="L212" s="45" t="str">
        <f t="shared" si="1"/>
        <v/>
      </c>
      <c r="M212" s="46" t="str">
        <f>IFERROR(__xludf.DUMMYFUNCTION("IF(Account!$F212&lt;&gt;"""", VALUE(REGEXREPLACE($I212, ""\,"", ""."")), """")"),"")</f>
        <v/>
      </c>
      <c r="N212" s="47" t="str">
        <f>IF(Account!$F212&lt;&gt;"", DATEVALUE(MID($A212,4,3) &amp; LEFT($A212,3) &amp; RIGHT($A212,4)) + TIMEVALUE($B212), "")</f>
        <v/>
      </c>
      <c r="O212" s="48" t="str">
        <f>IF(Account!$F212&lt;&gt;"", DATEVALUE(MID($A212,4,3) &amp; LEFT($A212,3) &amp; RIGHT($A212,4)), "")</f>
        <v/>
      </c>
      <c r="P212" s="49" t="str">
        <f>IFERROR(VLOOKUP($Q212,Selection!$F:$G,2,false))</f>
        <v/>
      </c>
      <c r="Q212" s="50" t="str">
        <f>IF(AND($X212="change",$H212="EUR"),IF(AND($Z212="Crédit",$N212=$N213),$Q213,IF(AND($Z212="Débit",$N212=$N211),$Q211)),IF(OR(AND(OR($E212&lt;&gt;"",$L212=""),$M212&lt;&gt;0),$A212=""),IFERROR(VLOOKUP($E212,Selection!$E:$F,2,false)),IFERROR(VLOOKUP(SUBSTITUTE($I212,"-","",1),$K213:$Q1119,7,false),VLOOKUP($K212,$K213:$Q1119,7,false))))</f>
        <v/>
      </c>
      <c r="R212" s="49" t="str">
        <f t="shared" si="2"/>
        <v/>
      </c>
      <c r="S212" s="51" t="str">
        <f t="shared" si="3"/>
        <v/>
      </c>
      <c r="T212" s="52" t="str">
        <f t="shared" si="4"/>
        <v/>
      </c>
      <c r="U212" s="46" t="str">
        <f t="shared" si="5"/>
        <v/>
      </c>
      <c r="V212" s="53" t="str">
        <f>IFERROR(__xludf.DUMMYFUNCTION(" IF(Account!$F212&lt;&gt;"""", SPLIT(Account!$F212, "" ""), """")"),"")</f>
        <v/>
      </c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</row>
    <row r="213">
      <c r="A213" s="11"/>
      <c r="B213" s="11"/>
      <c r="C213" s="11"/>
      <c r="D213" s="11"/>
      <c r="E213" s="11"/>
      <c r="F213" s="12"/>
      <c r="G213" s="215"/>
      <c r="H213" s="11"/>
      <c r="I213" s="11"/>
      <c r="J213" s="11"/>
      <c r="K213" s="11"/>
      <c r="L213" s="45" t="str">
        <f t="shared" si="1"/>
        <v/>
      </c>
      <c r="M213" s="46" t="str">
        <f>IFERROR(__xludf.DUMMYFUNCTION("IF(Account!$F213&lt;&gt;"""", VALUE(REGEXREPLACE($I213, ""\,"", ""."")), """")"),"")</f>
        <v/>
      </c>
      <c r="N213" s="47" t="str">
        <f>IF(Account!$F213&lt;&gt;"", DATEVALUE(MID($A213,4,3) &amp; LEFT($A213,3) &amp; RIGHT($A213,4)) + TIMEVALUE($B213), "")</f>
        <v/>
      </c>
      <c r="O213" s="48" t="str">
        <f>IF(Account!$F213&lt;&gt;"", DATEVALUE(MID($A213,4,3) &amp; LEFT($A213,3) &amp; RIGHT($A213,4)), "")</f>
        <v/>
      </c>
      <c r="P213" s="49" t="str">
        <f>IFERROR(VLOOKUP($Q213,Selection!$F:$G,2,false))</f>
        <v/>
      </c>
      <c r="Q213" s="50" t="str">
        <f>IF(AND($X213="change",$H213="EUR"),IF(AND($Z213="Crédit",$N213=$N214),$Q214,IF(AND($Z213="Débit",$N213=$N212),$Q212)),IF(OR(AND(OR($E213&lt;&gt;"",$L213=""),$M213&lt;&gt;0),$A213=""),IFERROR(VLOOKUP($E213,Selection!$E:$F,2,false)),IFERROR(VLOOKUP(SUBSTITUTE($I213,"-","",1),$K214:$Q1119,7,false),VLOOKUP($K213,$K214:$Q1119,7,false))))</f>
        <v/>
      </c>
      <c r="R213" s="49" t="str">
        <f t="shared" si="2"/>
        <v/>
      </c>
      <c r="S213" s="51" t="str">
        <f t="shared" si="3"/>
        <v/>
      </c>
      <c r="T213" s="52" t="str">
        <f t="shared" si="4"/>
        <v/>
      </c>
      <c r="U213" s="46" t="str">
        <f t="shared" si="5"/>
        <v/>
      </c>
      <c r="V213" s="53" t="str">
        <f>IFERROR(__xludf.DUMMYFUNCTION(" IF(Account!$F213&lt;&gt;"""", SPLIT(Account!$F213, "" ""), """")"),"")</f>
        <v/>
      </c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</row>
    <row r="214">
      <c r="A214" s="11"/>
      <c r="B214" s="11"/>
      <c r="C214" s="11"/>
      <c r="D214" s="11"/>
      <c r="E214" s="11"/>
      <c r="F214" s="12"/>
      <c r="G214" s="11"/>
      <c r="H214" s="11"/>
      <c r="I214" s="11"/>
      <c r="J214" s="11"/>
      <c r="K214" s="11"/>
      <c r="L214" s="45" t="str">
        <f t="shared" si="1"/>
        <v/>
      </c>
      <c r="M214" s="46" t="str">
        <f>IFERROR(__xludf.DUMMYFUNCTION("IF(Account!$F214&lt;&gt;"""", VALUE(REGEXREPLACE($I214, ""\,"", ""."")), """")"),"")</f>
        <v/>
      </c>
      <c r="N214" s="47" t="str">
        <f>IF(Account!$F214&lt;&gt;"", DATEVALUE(MID($A214,4,3) &amp; LEFT($A214,3) &amp; RIGHT($A214,4)) + TIMEVALUE($B214), "")</f>
        <v/>
      </c>
      <c r="O214" s="48" t="str">
        <f>IF(Account!$F214&lt;&gt;"", DATEVALUE(MID($A214,4,3) &amp; LEFT($A214,3) &amp; RIGHT($A214,4)), "")</f>
        <v/>
      </c>
      <c r="P214" s="49" t="str">
        <f>IFERROR(VLOOKUP($Q214,Selection!$F:$G,2,false))</f>
        <v/>
      </c>
      <c r="Q214" s="50" t="str">
        <f>IF(AND($X214="change",$H214="EUR"),IF(AND($Z214="Crédit",$N214=$N215),$Q215,IF(AND($Z214="Débit",$N214=$N213),$Q213)),IF(OR(AND(OR($E214&lt;&gt;"",$L214=""),$M214&lt;&gt;0),$A214=""),IFERROR(VLOOKUP($E214,Selection!$E:$F,2,false)),IFERROR(VLOOKUP(SUBSTITUTE($I214,"-","",1),$K215:$Q1119,7,false),VLOOKUP($K214,$K215:$Q1119,7,false))))</f>
        <v/>
      </c>
      <c r="R214" s="49" t="str">
        <f t="shared" si="2"/>
        <v/>
      </c>
      <c r="S214" s="51" t="str">
        <f t="shared" si="3"/>
        <v/>
      </c>
      <c r="T214" s="52" t="str">
        <f t="shared" si="4"/>
        <v/>
      </c>
      <c r="U214" s="46" t="str">
        <f t="shared" si="5"/>
        <v/>
      </c>
      <c r="V214" s="53" t="str">
        <f>IFERROR(__xludf.DUMMYFUNCTION(" IF(Account!$F214&lt;&gt;"""", SPLIT(Account!$F214, "" ""), """")"),"")</f>
        <v/>
      </c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</row>
    <row r="215">
      <c r="A215" s="11"/>
      <c r="B215" s="11"/>
      <c r="C215" s="11"/>
      <c r="D215" s="11"/>
      <c r="E215" s="11"/>
      <c r="F215" s="12"/>
      <c r="G215" s="215"/>
      <c r="H215" s="11"/>
      <c r="I215" s="11"/>
      <c r="J215" s="11"/>
      <c r="K215" s="11"/>
      <c r="L215" s="45" t="str">
        <f t="shared" si="1"/>
        <v/>
      </c>
      <c r="M215" s="46" t="str">
        <f>IFERROR(__xludf.DUMMYFUNCTION("IF(Account!$F215&lt;&gt;"""", VALUE(REGEXREPLACE($I215, ""\,"", ""."")), """")"),"")</f>
        <v/>
      </c>
      <c r="N215" s="47" t="str">
        <f>IF(Account!$F215&lt;&gt;"", DATEVALUE(MID($A215,4,3) &amp; LEFT($A215,3) &amp; RIGHT($A215,4)) + TIMEVALUE($B215), "")</f>
        <v/>
      </c>
      <c r="O215" s="48" t="str">
        <f>IF(Account!$F215&lt;&gt;"", DATEVALUE(MID($A215,4,3) &amp; LEFT($A215,3) &amp; RIGHT($A215,4)), "")</f>
        <v/>
      </c>
      <c r="P215" s="49" t="str">
        <f>IFERROR(VLOOKUP($Q215,Selection!$F:$G,2,false))</f>
        <v/>
      </c>
      <c r="Q215" s="50" t="str">
        <f>IF(AND($X215="change",$H215="EUR"),IF(AND($Z215="Crédit",$N215=$N216),$Q216,IF(AND($Z215="Débit",$N215=$N214),$Q214)),IF(OR(AND(OR($E215&lt;&gt;"",$L215=""),$M215&lt;&gt;0),$A215=""),IFERROR(VLOOKUP($E215,Selection!$E:$F,2,false)),IFERROR(VLOOKUP(SUBSTITUTE($I215,"-","",1),$K216:$Q1119,7,false),VLOOKUP($K215,$K216:$Q1119,7,false))))</f>
        <v/>
      </c>
      <c r="R215" s="49" t="str">
        <f t="shared" si="2"/>
        <v/>
      </c>
      <c r="S215" s="51" t="str">
        <f t="shared" si="3"/>
        <v/>
      </c>
      <c r="T215" s="52" t="str">
        <f t="shared" si="4"/>
        <v/>
      </c>
      <c r="U215" s="46" t="str">
        <f t="shared" si="5"/>
        <v/>
      </c>
      <c r="V215" s="53" t="str">
        <f>IFERROR(__xludf.DUMMYFUNCTION(" IF(Account!$F215&lt;&gt;"""", SPLIT(Account!$F215, "" ""), """")"),"")</f>
        <v/>
      </c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</row>
    <row r="216">
      <c r="A216" s="11"/>
      <c r="B216" s="11"/>
      <c r="C216" s="11"/>
      <c r="D216" s="11"/>
      <c r="E216" s="11"/>
      <c r="F216" s="12"/>
      <c r="G216" s="11"/>
      <c r="H216" s="11"/>
      <c r="I216" s="11"/>
      <c r="J216" s="11"/>
      <c r="K216" s="11"/>
      <c r="L216" s="45" t="str">
        <f t="shared" si="1"/>
        <v/>
      </c>
      <c r="M216" s="46" t="str">
        <f>IFERROR(__xludf.DUMMYFUNCTION("IF(Account!$F216&lt;&gt;"""", VALUE(REGEXREPLACE($I216, ""\,"", ""."")), """")"),"")</f>
        <v/>
      </c>
      <c r="N216" s="47" t="str">
        <f>IF(Account!$F216&lt;&gt;"", DATEVALUE(MID($A216,4,3) &amp; LEFT($A216,3) &amp; RIGHT($A216,4)) + TIMEVALUE($B216), "")</f>
        <v/>
      </c>
      <c r="O216" s="48" t="str">
        <f>IF(Account!$F216&lt;&gt;"", DATEVALUE(MID($A216,4,3) &amp; LEFT($A216,3) &amp; RIGHT($A216,4)), "")</f>
        <v/>
      </c>
      <c r="P216" s="49" t="str">
        <f>IFERROR(VLOOKUP($Q216,Selection!$F:$G,2,false))</f>
        <v/>
      </c>
      <c r="Q216" s="50" t="str">
        <f>IF(AND($X216="change",$H216="EUR"),IF(AND($Z216="Crédit",$N216=$N217),$Q217,IF(AND($Z216="Débit",$N216=$N215),$Q215)),IF(OR(AND(OR($E216&lt;&gt;"",$L216=""),$M216&lt;&gt;0),$A216=""),IFERROR(VLOOKUP($E216,Selection!$E:$F,2,false)),IFERROR(VLOOKUP(SUBSTITUTE($I216,"-","",1),$K217:$Q1119,7,false),VLOOKUP($K216,$K217:$Q1119,7,false))))</f>
        <v/>
      </c>
      <c r="R216" s="49" t="str">
        <f t="shared" si="2"/>
        <v/>
      </c>
      <c r="S216" s="51" t="str">
        <f t="shared" si="3"/>
        <v/>
      </c>
      <c r="T216" s="52" t="str">
        <f t="shared" si="4"/>
        <v/>
      </c>
      <c r="U216" s="46" t="str">
        <f t="shared" si="5"/>
        <v/>
      </c>
      <c r="V216" s="53" t="str">
        <f>IFERROR(__xludf.DUMMYFUNCTION(" IF(Account!$F216&lt;&gt;"""", SPLIT(Account!$F216, "" ""), """")"),"")</f>
        <v/>
      </c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</row>
    <row r="217">
      <c r="A217" s="11"/>
      <c r="B217" s="11"/>
      <c r="C217" s="11"/>
      <c r="D217" s="11"/>
      <c r="E217" s="11"/>
      <c r="F217" s="12"/>
      <c r="G217" s="215"/>
      <c r="H217" s="11"/>
      <c r="I217" s="11"/>
      <c r="J217" s="11"/>
      <c r="K217" s="11"/>
      <c r="L217" s="45" t="str">
        <f t="shared" si="1"/>
        <v/>
      </c>
      <c r="M217" s="46" t="str">
        <f>IFERROR(__xludf.DUMMYFUNCTION("IF(Account!$F217&lt;&gt;"""", VALUE(REGEXREPLACE($I217, ""\,"", ""."")), """")"),"")</f>
        <v/>
      </c>
      <c r="N217" s="47" t="str">
        <f>IF(Account!$F217&lt;&gt;"", DATEVALUE(MID($A217,4,3) &amp; LEFT($A217,3) &amp; RIGHT($A217,4)) + TIMEVALUE($B217), "")</f>
        <v/>
      </c>
      <c r="O217" s="48" t="str">
        <f>IF(Account!$F217&lt;&gt;"", DATEVALUE(MID($A217,4,3) &amp; LEFT($A217,3) &amp; RIGHT($A217,4)), "")</f>
        <v/>
      </c>
      <c r="P217" s="49" t="str">
        <f>IFERROR(VLOOKUP($Q217,Selection!$F:$G,2,false))</f>
        <v/>
      </c>
      <c r="Q217" s="50" t="str">
        <f>IF(AND($X217="change",$H217="EUR"),IF(AND($Z217="Crédit",$N217=$N218),$Q218,IF(AND($Z217="Débit",$N217=$N216),$Q216)),IF(OR(AND(OR($E217&lt;&gt;"",$L217=""),$M217&lt;&gt;0),$A217=""),IFERROR(VLOOKUP($E217,Selection!$E:$F,2,false)),IFERROR(VLOOKUP(SUBSTITUTE($I217,"-","",1),$K218:$Q1119,7,false),VLOOKUP($K217,$K218:$Q1119,7,false))))</f>
        <v/>
      </c>
      <c r="R217" s="49" t="str">
        <f t="shared" si="2"/>
        <v/>
      </c>
      <c r="S217" s="51" t="str">
        <f t="shared" si="3"/>
        <v/>
      </c>
      <c r="T217" s="52" t="str">
        <f t="shared" si="4"/>
        <v/>
      </c>
      <c r="U217" s="46" t="str">
        <f t="shared" si="5"/>
        <v/>
      </c>
      <c r="V217" s="53" t="str">
        <f>IFERROR(__xludf.DUMMYFUNCTION(" IF(Account!$F217&lt;&gt;"""", SPLIT(Account!$F217, "" ""), """")"),"")</f>
        <v/>
      </c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</row>
    <row r="218">
      <c r="A218" s="11"/>
      <c r="B218" s="11"/>
      <c r="C218" s="11"/>
      <c r="D218" s="11"/>
      <c r="E218" s="11"/>
      <c r="F218" s="12"/>
      <c r="G218" s="11"/>
      <c r="H218" s="11"/>
      <c r="I218" s="11"/>
      <c r="J218" s="11"/>
      <c r="K218" s="11"/>
      <c r="L218" s="45" t="str">
        <f t="shared" si="1"/>
        <v/>
      </c>
      <c r="M218" s="46" t="str">
        <f>IFERROR(__xludf.DUMMYFUNCTION("IF(Account!$F218&lt;&gt;"""", VALUE(REGEXREPLACE($I218, ""\,"", ""."")), """")"),"")</f>
        <v/>
      </c>
      <c r="N218" s="47" t="str">
        <f>IF(Account!$F218&lt;&gt;"", DATEVALUE(MID($A218,4,3) &amp; LEFT($A218,3) &amp; RIGHT($A218,4)) + TIMEVALUE($B218), "")</f>
        <v/>
      </c>
      <c r="O218" s="48" t="str">
        <f>IF(Account!$F218&lt;&gt;"", DATEVALUE(MID($A218,4,3) &amp; LEFT($A218,3) &amp; RIGHT($A218,4)), "")</f>
        <v/>
      </c>
      <c r="P218" s="49" t="str">
        <f>IFERROR(VLOOKUP($Q218,Selection!$F:$G,2,false))</f>
        <v/>
      </c>
      <c r="Q218" s="50" t="str">
        <f>IF(AND($X218="change",$H218="EUR"),IF(AND($Z218="Crédit",$N218=$N219),$Q219,IF(AND($Z218="Débit",$N218=$N217),$Q217)),IF(OR(AND(OR($E218&lt;&gt;"",$L218=""),$M218&lt;&gt;0),$A218=""),IFERROR(VLOOKUP($E218,Selection!$E:$F,2,false)),IFERROR(VLOOKUP(SUBSTITUTE($I218,"-","",1),$K219:$Q1119,7,false),VLOOKUP($K218,$K219:$Q1119,7,false))))</f>
        <v/>
      </c>
      <c r="R218" s="49" t="str">
        <f t="shared" si="2"/>
        <v/>
      </c>
      <c r="S218" s="51" t="str">
        <f t="shared" si="3"/>
        <v/>
      </c>
      <c r="T218" s="52" t="str">
        <f t="shared" si="4"/>
        <v/>
      </c>
      <c r="U218" s="46" t="str">
        <f t="shared" si="5"/>
        <v/>
      </c>
      <c r="V218" s="53" t="str">
        <f>IFERROR(__xludf.DUMMYFUNCTION(" IF(Account!$F218&lt;&gt;"""", SPLIT(Account!$F218, "" ""), """")"),"")</f>
        <v/>
      </c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</row>
    <row r="219">
      <c r="A219" s="11"/>
      <c r="B219" s="11"/>
      <c r="C219" s="11"/>
      <c r="D219" s="11"/>
      <c r="E219" s="11"/>
      <c r="F219" s="12"/>
      <c r="G219" s="215"/>
      <c r="H219" s="11"/>
      <c r="I219" s="11"/>
      <c r="J219" s="11"/>
      <c r="K219" s="11"/>
      <c r="L219" s="45" t="str">
        <f t="shared" si="1"/>
        <v/>
      </c>
      <c r="M219" s="46" t="str">
        <f>IFERROR(__xludf.DUMMYFUNCTION("IF(Account!$F219&lt;&gt;"""", VALUE(REGEXREPLACE($I219, ""\,"", ""."")), """")"),"")</f>
        <v/>
      </c>
      <c r="N219" s="47" t="str">
        <f>IF(Account!$F219&lt;&gt;"", DATEVALUE(MID($A219,4,3) &amp; LEFT($A219,3) &amp; RIGHT($A219,4)) + TIMEVALUE($B219), "")</f>
        <v/>
      </c>
      <c r="O219" s="48" t="str">
        <f>IF(Account!$F219&lt;&gt;"", DATEVALUE(MID($A219,4,3) &amp; LEFT($A219,3) &amp; RIGHT($A219,4)), "")</f>
        <v/>
      </c>
      <c r="P219" s="49" t="str">
        <f>IFERROR(VLOOKUP($Q219,Selection!$F:$G,2,false))</f>
        <v/>
      </c>
      <c r="Q219" s="50" t="str">
        <f>IF(AND($X219="change",$H219="EUR"),IF(AND($Z219="Crédit",$N219=$N220),$Q220,IF(AND($Z219="Débit",$N219=$N218),$Q218)),IF(OR(AND(OR($E219&lt;&gt;"",$L219=""),$M219&lt;&gt;0),$A219=""),IFERROR(VLOOKUP($E219,Selection!$E:$F,2,false)),IFERROR(VLOOKUP(SUBSTITUTE($I219,"-","",1),$K220:$Q1119,7,false),VLOOKUP($K219,$K220:$Q1119,7,false))))</f>
        <v/>
      </c>
      <c r="R219" s="49" t="str">
        <f t="shared" si="2"/>
        <v/>
      </c>
      <c r="S219" s="51" t="str">
        <f t="shared" si="3"/>
        <v/>
      </c>
      <c r="T219" s="52" t="str">
        <f t="shared" si="4"/>
        <v/>
      </c>
      <c r="U219" s="46" t="str">
        <f t="shared" si="5"/>
        <v/>
      </c>
      <c r="V219" s="53" t="str">
        <f>IFERROR(__xludf.DUMMYFUNCTION(" IF(Account!$F219&lt;&gt;"""", SPLIT(Account!$F219, "" ""), """")"),"")</f>
        <v/>
      </c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</row>
    <row r="220">
      <c r="A220" s="11"/>
      <c r="B220" s="11"/>
      <c r="C220" s="11"/>
      <c r="D220" s="11"/>
      <c r="E220" s="11"/>
      <c r="F220" s="12"/>
      <c r="G220" s="11"/>
      <c r="H220" s="11"/>
      <c r="I220" s="11"/>
      <c r="J220" s="11"/>
      <c r="K220" s="11"/>
      <c r="L220" s="45" t="str">
        <f t="shared" si="1"/>
        <v/>
      </c>
      <c r="M220" s="46" t="str">
        <f>IFERROR(__xludf.DUMMYFUNCTION("IF(Account!$F220&lt;&gt;"""", VALUE(REGEXREPLACE($I220, ""\,"", ""."")), """")"),"")</f>
        <v/>
      </c>
      <c r="N220" s="47" t="str">
        <f>IF(Account!$F220&lt;&gt;"", DATEVALUE(MID($A220,4,3) &amp; LEFT($A220,3) &amp; RIGHT($A220,4)) + TIMEVALUE($B220), "")</f>
        <v/>
      </c>
      <c r="O220" s="48" t="str">
        <f>IF(Account!$F220&lt;&gt;"", DATEVALUE(MID($A220,4,3) &amp; LEFT($A220,3) &amp; RIGHT($A220,4)), "")</f>
        <v/>
      </c>
      <c r="P220" s="49" t="str">
        <f>IFERROR(VLOOKUP($Q220,Selection!$F:$G,2,false))</f>
        <v/>
      </c>
      <c r="Q220" s="50" t="str">
        <f>IF(AND($X220="change",$H220="EUR"),IF(AND($Z220="Crédit",$N220=$N221),$Q221,IF(AND($Z220="Débit",$N220=$N219),$Q219)),IF(OR(AND(OR($E220&lt;&gt;"",$L220=""),$M220&lt;&gt;0),$A220=""),IFERROR(VLOOKUP($E220,Selection!$E:$F,2,false)),IFERROR(VLOOKUP(SUBSTITUTE($I220,"-","",1),$K221:$Q1119,7,false),VLOOKUP($K220,$K221:$Q1119,7,false))))</f>
        <v/>
      </c>
      <c r="R220" s="49" t="str">
        <f t="shared" si="2"/>
        <v/>
      </c>
      <c r="S220" s="51" t="str">
        <f t="shared" si="3"/>
        <v/>
      </c>
      <c r="T220" s="52" t="str">
        <f t="shared" si="4"/>
        <v/>
      </c>
      <c r="U220" s="46" t="str">
        <f t="shared" si="5"/>
        <v/>
      </c>
      <c r="V220" s="53" t="str">
        <f>IFERROR(__xludf.DUMMYFUNCTION(" IF(Account!$F220&lt;&gt;"""", SPLIT(Account!$F220, "" ""), """")"),"")</f>
        <v/>
      </c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</row>
    <row r="221">
      <c r="A221" s="11"/>
      <c r="B221" s="11"/>
      <c r="C221" s="11"/>
      <c r="D221" s="11"/>
      <c r="E221" s="11"/>
      <c r="F221" s="12"/>
      <c r="G221" s="11"/>
      <c r="H221" s="11"/>
      <c r="I221" s="11"/>
      <c r="J221" s="11"/>
      <c r="K221" s="11"/>
      <c r="L221" s="45" t="str">
        <f t="shared" si="1"/>
        <v/>
      </c>
      <c r="M221" s="46" t="str">
        <f>IFERROR(__xludf.DUMMYFUNCTION("IF(Account!$F221&lt;&gt;"""", VALUE(REGEXREPLACE($I221, ""\,"", ""."")), """")"),"")</f>
        <v/>
      </c>
      <c r="N221" s="47" t="str">
        <f>IF(Account!$F221&lt;&gt;"", DATEVALUE(MID($A221,4,3) &amp; LEFT($A221,3) &amp; RIGHT($A221,4)) + TIMEVALUE($B221), "")</f>
        <v/>
      </c>
      <c r="O221" s="48" t="str">
        <f>IF(Account!$F221&lt;&gt;"", DATEVALUE(MID($A221,4,3) &amp; LEFT($A221,3) &amp; RIGHT($A221,4)), "")</f>
        <v/>
      </c>
      <c r="P221" s="49" t="str">
        <f>IFERROR(VLOOKUP($Q221,Selection!$F:$G,2,false))</f>
        <v/>
      </c>
      <c r="Q221" s="50" t="str">
        <f>IF(AND($X221="change",$H221="EUR"),IF(AND($Z221="Crédit",$N221=$N222),$Q222,IF(AND($Z221="Débit",$N221=$N220),$Q220)),IF(OR(AND(OR($E221&lt;&gt;"",$L221=""),$M221&lt;&gt;0),$A221=""),IFERROR(VLOOKUP($E221,Selection!$E:$F,2,false)),IFERROR(VLOOKUP(SUBSTITUTE($I221,"-","",1),$K222:$Q1119,7,false),VLOOKUP($K221,$K222:$Q1119,7,false))))</f>
        <v/>
      </c>
      <c r="R221" s="49" t="str">
        <f t="shared" si="2"/>
        <v/>
      </c>
      <c r="S221" s="51" t="str">
        <f t="shared" si="3"/>
        <v/>
      </c>
      <c r="T221" s="52" t="str">
        <f t="shared" si="4"/>
        <v/>
      </c>
      <c r="U221" s="46" t="str">
        <f t="shared" si="5"/>
        <v/>
      </c>
      <c r="V221" s="53" t="str">
        <f>IFERROR(__xludf.DUMMYFUNCTION(" IF(Account!$F221&lt;&gt;"""", SPLIT(Account!$F221, "" ""), """")"),"")</f>
        <v/>
      </c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</row>
    <row r="222">
      <c r="A222" s="11"/>
      <c r="B222" s="11"/>
      <c r="C222" s="11"/>
      <c r="D222" s="11"/>
      <c r="E222" s="11"/>
      <c r="F222" s="12"/>
      <c r="G222" s="11"/>
      <c r="H222" s="11"/>
      <c r="I222" s="11"/>
      <c r="J222" s="11"/>
      <c r="K222" s="11"/>
      <c r="L222" s="45" t="str">
        <f t="shared" si="1"/>
        <v/>
      </c>
      <c r="M222" s="46" t="str">
        <f>IFERROR(__xludf.DUMMYFUNCTION("IF(Account!$F222&lt;&gt;"""", VALUE(REGEXREPLACE($I222, ""\,"", ""."")), """")"),"")</f>
        <v/>
      </c>
      <c r="N222" s="47" t="str">
        <f>IF(Account!$F222&lt;&gt;"", DATEVALUE(MID($A222,4,3) &amp; LEFT($A222,3) &amp; RIGHT($A222,4)) + TIMEVALUE($B222), "")</f>
        <v/>
      </c>
      <c r="O222" s="48" t="str">
        <f>IF(Account!$F222&lt;&gt;"", DATEVALUE(MID($A222,4,3) &amp; LEFT($A222,3) &amp; RIGHT($A222,4)), "")</f>
        <v/>
      </c>
      <c r="P222" s="49" t="str">
        <f>IFERROR(VLOOKUP($Q222,Selection!$F:$G,2,false))</f>
        <v/>
      </c>
      <c r="Q222" s="50" t="str">
        <f>IF(AND($X222="change",$H222="EUR"),IF(AND($Z222="Crédit",$N222=$N223),$Q223,IF(AND($Z222="Débit",$N222=$N221),$Q221)),IF(OR(AND(OR($E222&lt;&gt;"",$L222=""),$M222&lt;&gt;0),$A222=""),IFERROR(VLOOKUP($E222,Selection!$E:$F,2,false)),IFERROR(VLOOKUP(SUBSTITUTE($I222,"-","",1),$K223:$Q1119,7,false),VLOOKUP($K222,$K223:$Q1119,7,false))))</f>
        <v/>
      </c>
      <c r="R222" s="49" t="str">
        <f t="shared" si="2"/>
        <v/>
      </c>
      <c r="S222" s="51" t="str">
        <f t="shared" si="3"/>
        <v/>
      </c>
      <c r="T222" s="52" t="str">
        <f t="shared" si="4"/>
        <v/>
      </c>
      <c r="U222" s="46" t="str">
        <f t="shared" si="5"/>
        <v/>
      </c>
      <c r="V222" s="53" t="str">
        <f>IFERROR(__xludf.DUMMYFUNCTION(" IF(Account!$F222&lt;&gt;"""", SPLIT(Account!$F222, "" ""), """")"),"")</f>
        <v/>
      </c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</row>
    <row r="223">
      <c r="A223" s="11"/>
      <c r="B223" s="11"/>
      <c r="C223" s="11"/>
      <c r="D223" s="11"/>
      <c r="E223" s="11"/>
      <c r="F223" s="12"/>
      <c r="G223" s="215"/>
      <c r="H223" s="11"/>
      <c r="I223" s="11"/>
      <c r="J223" s="11"/>
      <c r="K223" s="11"/>
      <c r="L223" s="45" t="str">
        <f t="shared" si="1"/>
        <v/>
      </c>
      <c r="M223" s="46" t="str">
        <f>IFERROR(__xludf.DUMMYFUNCTION("IF(Account!$F223&lt;&gt;"""", VALUE(REGEXREPLACE($I223, ""\,"", ""."")), """")"),"")</f>
        <v/>
      </c>
      <c r="N223" s="47" t="str">
        <f>IF(Account!$F223&lt;&gt;"", DATEVALUE(MID($A223,4,3) &amp; LEFT($A223,3) &amp; RIGHT($A223,4)) + TIMEVALUE($B223), "")</f>
        <v/>
      </c>
      <c r="O223" s="48" t="str">
        <f>IF(Account!$F223&lt;&gt;"", DATEVALUE(MID($A223,4,3) &amp; LEFT($A223,3) &amp; RIGHT($A223,4)), "")</f>
        <v/>
      </c>
      <c r="P223" s="49" t="str">
        <f>IFERROR(VLOOKUP($Q223,Selection!$F:$G,2,false))</f>
        <v/>
      </c>
      <c r="Q223" s="50" t="str">
        <f>IF(AND($X223="change",$H223="EUR"),IF(AND($Z223="Crédit",$N223=$N224),$Q224,IF(AND($Z223="Débit",$N223=$N222),$Q222)),IF(OR(AND(OR($E223&lt;&gt;"",$L223=""),$M223&lt;&gt;0),$A223=""),IFERROR(VLOOKUP($E223,Selection!$E:$F,2,false)),IFERROR(VLOOKUP(SUBSTITUTE($I223,"-","",1),$K224:$Q1119,7,false),VLOOKUP($K223,$K224:$Q1119,7,false))))</f>
        <v/>
      </c>
      <c r="R223" s="49" t="str">
        <f t="shared" si="2"/>
        <v/>
      </c>
      <c r="S223" s="51" t="str">
        <f t="shared" si="3"/>
        <v/>
      </c>
      <c r="T223" s="52" t="str">
        <f t="shared" si="4"/>
        <v/>
      </c>
      <c r="U223" s="46" t="str">
        <f t="shared" si="5"/>
        <v/>
      </c>
      <c r="V223" s="53" t="str">
        <f>IFERROR(__xludf.DUMMYFUNCTION(" IF(Account!$F223&lt;&gt;"""", SPLIT(Account!$F223, "" ""), """")"),"")</f>
        <v/>
      </c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</row>
    <row r="224">
      <c r="A224" s="11"/>
      <c r="B224" s="11"/>
      <c r="C224" s="11"/>
      <c r="D224" s="11"/>
      <c r="E224" s="11"/>
      <c r="F224" s="12"/>
      <c r="G224" s="11"/>
      <c r="H224" s="11"/>
      <c r="I224" s="11"/>
      <c r="J224" s="11"/>
      <c r="K224" s="11"/>
      <c r="L224" s="45" t="str">
        <f t="shared" si="1"/>
        <v/>
      </c>
      <c r="M224" s="46" t="str">
        <f>IFERROR(__xludf.DUMMYFUNCTION("IF(Account!$F224&lt;&gt;"""", VALUE(REGEXREPLACE($I224, ""\,"", ""."")), """")"),"")</f>
        <v/>
      </c>
      <c r="N224" s="47" t="str">
        <f>IF(Account!$F224&lt;&gt;"", DATEVALUE(MID($A224,4,3) &amp; LEFT($A224,3) &amp; RIGHT($A224,4)) + TIMEVALUE($B224), "")</f>
        <v/>
      </c>
      <c r="O224" s="48" t="str">
        <f>IF(Account!$F224&lt;&gt;"", DATEVALUE(MID($A224,4,3) &amp; LEFT($A224,3) &amp; RIGHT($A224,4)), "")</f>
        <v/>
      </c>
      <c r="P224" s="49" t="str">
        <f>IFERROR(VLOOKUP($Q224,Selection!$F:$G,2,false))</f>
        <v/>
      </c>
      <c r="Q224" s="50" t="str">
        <f>IF(AND($X224="change",$H224="EUR"),IF(AND($Z224="Crédit",$N224=$N225),$Q225,IF(AND($Z224="Débit",$N224=$N223),$Q223)),IF(OR(AND(OR($E224&lt;&gt;"",$L224=""),$M224&lt;&gt;0),$A224=""),IFERROR(VLOOKUP($E224,Selection!$E:$F,2,false)),IFERROR(VLOOKUP(SUBSTITUTE($I224,"-","",1),$K225:$Q1119,7,false),VLOOKUP($K224,$K225:$Q1119,7,false))))</f>
        <v/>
      </c>
      <c r="R224" s="49" t="str">
        <f t="shared" si="2"/>
        <v/>
      </c>
      <c r="S224" s="51" t="str">
        <f t="shared" si="3"/>
        <v/>
      </c>
      <c r="T224" s="52" t="str">
        <f t="shared" si="4"/>
        <v/>
      </c>
      <c r="U224" s="46" t="str">
        <f t="shared" si="5"/>
        <v/>
      </c>
      <c r="V224" s="53" t="str">
        <f>IFERROR(__xludf.DUMMYFUNCTION(" IF(Account!$F224&lt;&gt;"""", SPLIT(Account!$F224, "" ""), """")"),"")</f>
        <v/>
      </c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</row>
    <row r="225">
      <c r="A225" s="11"/>
      <c r="B225" s="11"/>
      <c r="C225" s="11"/>
      <c r="D225" s="11"/>
      <c r="E225" s="11"/>
      <c r="F225" s="12"/>
      <c r="G225" s="11"/>
      <c r="H225" s="11"/>
      <c r="I225" s="11"/>
      <c r="J225" s="11"/>
      <c r="K225" s="11"/>
      <c r="L225" s="45" t="str">
        <f t="shared" si="1"/>
        <v/>
      </c>
      <c r="M225" s="46" t="str">
        <f>IFERROR(__xludf.DUMMYFUNCTION("IF(Account!$F225&lt;&gt;"""", VALUE(REGEXREPLACE($I225, ""\,"", ""."")), """")"),"")</f>
        <v/>
      </c>
      <c r="N225" s="47" t="str">
        <f>IF(Account!$F225&lt;&gt;"", DATEVALUE(MID($A225,4,3) &amp; LEFT($A225,3) &amp; RIGHT($A225,4)) + TIMEVALUE($B225), "")</f>
        <v/>
      </c>
      <c r="O225" s="48" t="str">
        <f>IF(Account!$F225&lt;&gt;"", DATEVALUE(MID($A225,4,3) &amp; LEFT($A225,3) &amp; RIGHT($A225,4)), "")</f>
        <v/>
      </c>
      <c r="P225" s="49" t="str">
        <f>IFERROR(VLOOKUP($Q225,Selection!$F:$G,2,false))</f>
        <v/>
      </c>
      <c r="Q225" s="50" t="str">
        <f>IF(AND($X225="change",$H225="EUR"),IF(AND($Z225="Crédit",$N225=$N226),$Q226,IF(AND($Z225="Débit",$N225=$N224),$Q224)),IF(OR(AND(OR($E225&lt;&gt;"",$L225=""),$M225&lt;&gt;0),$A225=""),IFERROR(VLOOKUP($E225,Selection!$E:$F,2,false)),IFERROR(VLOOKUP(SUBSTITUTE($I225,"-","",1),$K226:$Q1119,7,false),VLOOKUP($K225,$K226:$Q1119,7,false))))</f>
        <v/>
      </c>
      <c r="R225" s="49" t="str">
        <f t="shared" si="2"/>
        <v/>
      </c>
      <c r="S225" s="51" t="str">
        <f t="shared" si="3"/>
        <v/>
      </c>
      <c r="T225" s="52" t="str">
        <f t="shared" si="4"/>
        <v/>
      </c>
      <c r="U225" s="46" t="str">
        <f t="shared" si="5"/>
        <v/>
      </c>
      <c r="V225" s="53" t="str">
        <f>IFERROR(__xludf.DUMMYFUNCTION(" IF(Account!$F225&lt;&gt;"""", SPLIT(Account!$F225, "" ""), """")"),"")</f>
        <v/>
      </c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</row>
    <row r="226">
      <c r="A226" s="11"/>
      <c r="B226" s="11"/>
      <c r="C226" s="11"/>
      <c r="D226" s="11"/>
      <c r="E226" s="11"/>
      <c r="F226" s="12"/>
      <c r="G226" s="11"/>
      <c r="H226" s="11"/>
      <c r="I226" s="11"/>
      <c r="J226" s="11"/>
      <c r="K226" s="11"/>
      <c r="L226" s="45" t="str">
        <f t="shared" si="1"/>
        <v/>
      </c>
      <c r="M226" s="46" t="str">
        <f>IFERROR(__xludf.DUMMYFUNCTION("IF(Account!$F226&lt;&gt;"""", VALUE(REGEXREPLACE($I226, ""\,"", ""."")), """")"),"")</f>
        <v/>
      </c>
      <c r="N226" s="47" t="str">
        <f>IF(Account!$F226&lt;&gt;"", DATEVALUE(MID($A226,4,3) &amp; LEFT($A226,3) &amp; RIGHT($A226,4)) + TIMEVALUE($B226), "")</f>
        <v/>
      </c>
      <c r="O226" s="48" t="str">
        <f>IF(Account!$F226&lt;&gt;"", DATEVALUE(MID($A226,4,3) &amp; LEFT($A226,3) &amp; RIGHT($A226,4)), "")</f>
        <v/>
      </c>
      <c r="P226" s="49" t="str">
        <f>IFERROR(VLOOKUP($Q226,Selection!$F:$G,2,false))</f>
        <v/>
      </c>
      <c r="Q226" s="50" t="str">
        <f>IF(AND($X226="change",$H226="EUR"),IF(AND($Z226="Crédit",$N226=$N227),$Q227,IF(AND($Z226="Débit",$N226=$N225),$Q225)),IF(OR(AND(OR($E226&lt;&gt;"",$L226=""),$M226&lt;&gt;0),$A226=""),IFERROR(VLOOKUP($E226,Selection!$E:$F,2,false)),IFERROR(VLOOKUP(SUBSTITUTE($I226,"-","",1),$K227:$Q1119,7,false),VLOOKUP($K226,$K227:$Q1119,7,false))))</f>
        <v/>
      </c>
      <c r="R226" s="49" t="str">
        <f t="shared" si="2"/>
        <v/>
      </c>
      <c r="S226" s="51" t="str">
        <f t="shared" si="3"/>
        <v/>
      </c>
      <c r="T226" s="52" t="str">
        <f t="shared" si="4"/>
        <v/>
      </c>
      <c r="U226" s="46" t="str">
        <f t="shared" si="5"/>
        <v/>
      </c>
      <c r="V226" s="53" t="str">
        <f>IFERROR(__xludf.DUMMYFUNCTION(" IF(Account!$F226&lt;&gt;"""", SPLIT(Account!$F226, "" ""), """")"),"")</f>
        <v/>
      </c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</row>
    <row r="227">
      <c r="A227" s="11"/>
      <c r="B227" s="11"/>
      <c r="C227" s="11"/>
      <c r="D227" s="11"/>
      <c r="E227" s="11"/>
      <c r="F227" s="12"/>
      <c r="G227" s="11"/>
      <c r="H227" s="11"/>
      <c r="I227" s="11"/>
      <c r="J227" s="11"/>
      <c r="K227" s="11"/>
      <c r="L227" s="45" t="str">
        <f t="shared" si="1"/>
        <v/>
      </c>
      <c r="M227" s="46" t="str">
        <f>IFERROR(__xludf.DUMMYFUNCTION("IF(Account!$F227&lt;&gt;"""", VALUE(REGEXREPLACE($I227, ""\,"", ""."")), """")"),"")</f>
        <v/>
      </c>
      <c r="N227" s="47" t="str">
        <f>IF(Account!$F227&lt;&gt;"", DATEVALUE(MID($A227,4,3) &amp; LEFT($A227,3) &amp; RIGHT($A227,4)) + TIMEVALUE($B227), "")</f>
        <v/>
      </c>
      <c r="O227" s="48" t="str">
        <f>IF(Account!$F227&lt;&gt;"", DATEVALUE(MID($A227,4,3) &amp; LEFT($A227,3) &amp; RIGHT($A227,4)), "")</f>
        <v/>
      </c>
      <c r="P227" s="49" t="str">
        <f>IFERROR(VLOOKUP($Q227,Selection!$F:$G,2,false))</f>
        <v/>
      </c>
      <c r="Q227" s="50" t="str">
        <f>IF(AND($X227="change",$H227="EUR"),IF(AND($Z227="Crédit",$N227=$N228),$Q228,IF(AND($Z227="Débit",$N227=$N226),$Q226)),IF(OR(AND(OR($E227&lt;&gt;"",$L227=""),$M227&lt;&gt;0),$A227=""),IFERROR(VLOOKUP($E227,Selection!$E:$F,2,false)),IFERROR(VLOOKUP(SUBSTITUTE($I227,"-","",1),$K228:$Q1119,7,false),VLOOKUP($K227,$K228:$Q1119,7,false))))</f>
        <v/>
      </c>
      <c r="R227" s="49" t="str">
        <f t="shared" si="2"/>
        <v/>
      </c>
      <c r="S227" s="51" t="str">
        <f t="shared" si="3"/>
        <v/>
      </c>
      <c r="T227" s="52" t="str">
        <f t="shared" si="4"/>
        <v/>
      </c>
      <c r="U227" s="46" t="str">
        <f t="shared" si="5"/>
        <v/>
      </c>
      <c r="V227" s="53" t="str">
        <f>IFERROR(__xludf.DUMMYFUNCTION(" IF(Account!$F227&lt;&gt;"""", SPLIT(Account!$F227, "" ""), """")"),"")</f>
        <v/>
      </c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</row>
    <row r="228">
      <c r="A228" s="11"/>
      <c r="B228" s="11"/>
      <c r="C228" s="11"/>
      <c r="D228" s="11"/>
      <c r="E228" s="11"/>
      <c r="F228" s="12"/>
      <c r="G228" s="11"/>
      <c r="H228" s="11"/>
      <c r="I228" s="11"/>
      <c r="J228" s="11"/>
      <c r="K228" s="11"/>
      <c r="L228" s="45" t="str">
        <f t="shared" si="1"/>
        <v/>
      </c>
      <c r="M228" s="46" t="str">
        <f>IFERROR(__xludf.DUMMYFUNCTION("IF(Account!$F228&lt;&gt;"""", VALUE(REGEXREPLACE($I228, ""\,"", ""."")), """")"),"")</f>
        <v/>
      </c>
      <c r="N228" s="47" t="str">
        <f>IF(Account!$F228&lt;&gt;"", DATEVALUE(MID($A228,4,3) &amp; LEFT($A228,3) &amp; RIGHT($A228,4)) + TIMEVALUE($B228), "")</f>
        <v/>
      </c>
      <c r="O228" s="48" t="str">
        <f>IF(Account!$F228&lt;&gt;"", DATEVALUE(MID($A228,4,3) &amp; LEFT($A228,3) &amp; RIGHT($A228,4)), "")</f>
        <v/>
      </c>
      <c r="P228" s="49" t="str">
        <f>IFERROR(VLOOKUP($Q228,Selection!$F:$G,2,false))</f>
        <v/>
      </c>
      <c r="Q228" s="50" t="str">
        <f>IF(AND($X228="change",$H228="EUR"),IF(AND($Z228="Crédit",$N228=$N229),$Q229,IF(AND($Z228="Débit",$N228=$N227),$Q227)),IF(OR(AND(OR($E228&lt;&gt;"",$L228=""),$M228&lt;&gt;0),$A228=""),IFERROR(VLOOKUP($E228,Selection!$E:$F,2,false)),IFERROR(VLOOKUP(SUBSTITUTE($I228,"-","",1),$K229:$Q1119,7,false),VLOOKUP($K228,$K229:$Q1119,7,false))))</f>
        <v/>
      </c>
      <c r="R228" s="49" t="str">
        <f t="shared" si="2"/>
        <v/>
      </c>
      <c r="S228" s="51" t="str">
        <f t="shared" si="3"/>
        <v/>
      </c>
      <c r="T228" s="52" t="str">
        <f t="shared" si="4"/>
        <v/>
      </c>
      <c r="U228" s="46" t="str">
        <f t="shared" si="5"/>
        <v/>
      </c>
      <c r="V228" s="53" t="str">
        <f>IFERROR(__xludf.DUMMYFUNCTION(" IF(Account!$F228&lt;&gt;"""", SPLIT(Account!$F228, "" ""), """")"),"")</f>
        <v/>
      </c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</row>
    <row r="229">
      <c r="A229" s="11"/>
      <c r="B229" s="11"/>
      <c r="C229" s="11"/>
      <c r="D229" s="11"/>
      <c r="E229" s="11"/>
      <c r="F229" s="12"/>
      <c r="G229" s="11"/>
      <c r="H229" s="11"/>
      <c r="I229" s="11"/>
      <c r="J229" s="11"/>
      <c r="K229" s="11"/>
      <c r="L229" s="45" t="str">
        <f t="shared" si="1"/>
        <v/>
      </c>
      <c r="M229" s="46" t="str">
        <f>IFERROR(__xludf.DUMMYFUNCTION("IF(Account!$F229&lt;&gt;"""", VALUE(REGEXREPLACE($I229, ""\,"", ""."")), """")"),"")</f>
        <v/>
      </c>
      <c r="N229" s="47" t="str">
        <f>IF(Account!$F229&lt;&gt;"", DATEVALUE(MID($A229,4,3) &amp; LEFT($A229,3) &amp; RIGHT($A229,4)) + TIMEVALUE($B229), "")</f>
        <v/>
      </c>
      <c r="O229" s="48" t="str">
        <f>IF(Account!$F229&lt;&gt;"", DATEVALUE(MID($A229,4,3) &amp; LEFT($A229,3) &amp; RIGHT($A229,4)), "")</f>
        <v/>
      </c>
      <c r="P229" s="49" t="str">
        <f>IFERROR(VLOOKUP($Q229,Selection!$F:$G,2,false))</f>
        <v/>
      </c>
      <c r="Q229" s="50" t="str">
        <f>IF(AND($X229="change",$H229="EUR"),IF(AND($Z229="Crédit",$N229=$N230),$Q230,IF(AND($Z229="Débit",$N229=$N228),$Q228)),IF(OR(AND(OR($E229&lt;&gt;"",$L229=""),$M229&lt;&gt;0),$A229=""),IFERROR(VLOOKUP($E229,Selection!$E:$F,2,false)),IFERROR(VLOOKUP(SUBSTITUTE($I229,"-","",1),$K230:$Q1119,7,false),VLOOKUP($K229,$K230:$Q1119,7,false))))</f>
        <v/>
      </c>
      <c r="R229" s="49" t="str">
        <f t="shared" si="2"/>
        <v/>
      </c>
      <c r="S229" s="51" t="str">
        <f t="shared" si="3"/>
        <v/>
      </c>
      <c r="T229" s="52" t="str">
        <f t="shared" si="4"/>
        <v/>
      </c>
      <c r="U229" s="46" t="str">
        <f t="shared" si="5"/>
        <v/>
      </c>
      <c r="V229" s="53" t="str">
        <f>IFERROR(__xludf.DUMMYFUNCTION(" IF(Account!$F229&lt;&gt;"""", SPLIT(Account!$F229, "" ""), """")"),"")</f>
        <v/>
      </c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</row>
    <row r="230">
      <c r="A230" s="11"/>
      <c r="B230" s="11"/>
      <c r="C230" s="11"/>
      <c r="D230" s="11"/>
      <c r="E230" s="11"/>
      <c r="F230" s="12"/>
      <c r="G230" s="215"/>
      <c r="H230" s="11"/>
      <c r="I230" s="11"/>
      <c r="J230" s="11"/>
      <c r="K230" s="11"/>
      <c r="L230" s="45" t="str">
        <f t="shared" si="1"/>
        <v/>
      </c>
      <c r="M230" s="46" t="str">
        <f>IFERROR(__xludf.DUMMYFUNCTION("IF(Account!$F230&lt;&gt;"""", VALUE(REGEXREPLACE($I230, ""\,"", ""."")), """")"),"")</f>
        <v/>
      </c>
      <c r="N230" s="47" t="str">
        <f>IF(Account!$F230&lt;&gt;"", DATEVALUE(MID($A230,4,3) &amp; LEFT($A230,3) &amp; RIGHT($A230,4)) + TIMEVALUE($B230), "")</f>
        <v/>
      </c>
      <c r="O230" s="48" t="str">
        <f>IF(Account!$F230&lt;&gt;"", DATEVALUE(MID($A230,4,3) &amp; LEFT($A230,3) &amp; RIGHT($A230,4)), "")</f>
        <v/>
      </c>
      <c r="P230" s="49" t="str">
        <f>IFERROR(VLOOKUP($Q230,Selection!$F:$G,2,false))</f>
        <v/>
      </c>
      <c r="Q230" s="50" t="str">
        <f>IF(AND($X230="change",$H230="EUR"),IF(AND($Z230="Crédit",$N230=$N231),$Q231,IF(AND($Z230="Débit",$N230=$N229),$Q229)),IF(OR(AND(OR($E230&lt;&gt;"",$L230=""),$M230&lt;&gt;0),$A230=""),IFERROR(VLOOKUP($E230,Selection!$E:$F,2,false)),IFERROR(VLOOKUP(SUBSTITUTE($I230,"-","",1),$K231:$Q1119,7,false),VLOOKUP($K230,$K231:$Q1119,7,false))))</f>
        <v/>
      </c>
      <c r="R230" s="49" t="str">
        <f t="shared" si="2"/>
        <v/>
      </c>
      <c r="S230" s="51" t="str">
        <f t="shared" si="3"/>
        <v/>
      </c>
      <c r="T230" s="52" t="str">
        <f t="shared" si="4"/>
        <v/>
      </c>
      <c r="U230" s="46" t="str">
        <f t="shared" si="5"/>
        <v/>
      </c>
      <c r="V230" s="53" t="str">
        <f>IFERROR(__xludf.DUMMYFUNCTION(" IF(Account!$F230&lt;&gt;"""", SPLIT(Account!$F230, "" ""), """")"),"")</f>
        <v/>
      </c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</row>
    <row r="231">
      <c r="A231" s="11"/>
      <c r="B231" s="11"/>
      <c r="C231" s="11"/>
      <c r="D231" s="11"/>
      <c r="E231" s="11"/>
      <c r="F231" s="12"/>
      <c r="G231" s="11"/>
      <c r="H231" s="11"/>
      <c r="I231" s="11"/>
      <c r="J231" s="11"/>
      <c r="K231" s="11"/>
      <c r="L231" s="45" t="str">
        <f t="shared" si="1"/>
        <v/>
      </c>
      <c r="M231" s="46" t="str">
        <f>IFERROR(__xludf.DUMMYFUNCTION("IF(Account!$F231&lt;&gt;"""", VALUE(REGEXREPLACE($I231, ""\,"", ""."")), """")"),"")</f>
        <v/>
      </c>
      <c r="N231" s="47" t="str">
        <f>IF(Account!$F231&lt;&gt;"", DATEVALUE(MID($A231,4,3) &amp; LEFT($A231,3) &amp; RIGHT($A231,4)) + TIMEVALUE($B231), "")</f>
        <v/>
      </c>
      <c r="O231" s="48" t="str">
        <f>IF(Account!$F231&lt;&gt;"", DATEVALUE(MID($A231,4,3) &amp; LEFT($A231,3) &amp; RIGHT($A231,4)), "")</f>
        <v/>
      </c>
      <c r="P231" s="49" t="str">
        <f>IFERROR(VLOOKUP($Q231,Selection!$F:$G,2,false))</f>
        <v/>
      </c>
      <c r="Q231" s="50" t="str">
        <f>IF(AND($X231="change",$H231="EUR"),IF(AND($Z231="Crédit",$N231=$N232),$Q232,IF(AND($Z231="Débit",$N231=$N230),$Q230)),IF(OR(AND(OR($E231&lt;&gt;"",$L231=""),$M231&lt;&gt;0),$A231=""),IFERROR(VLOOKUP($E231,Selection!$E:$F,2,false)),IFERROR(VLOOKUP(SUBSTITUTE($I231,"-","",1),$K232:$Q1119,7,false),VLOOKUP($K231,$K232:$Q1119,7,false))))</f>
        <v/>
      </c>
      <c r="R231" s="49" t="str">
        <f t="shared" si="2"/>
        <v/>
      </c>
      <c r="S231" s="51" t="str">
        <f t="shared" si="3"/>
        <v/>
      </c>
      <c r="T231" s="52" t="str">
        <f t="shared" si="4"/>
        <v/>
      </c>
      <c r="U231" s="46" t="str">
        <f t="shared" si="5"/>
        <v/>
      </c>
      <c r="V231" s="53" t="str">
        <f>IFERROR(__xludf.DUMMYFUNCTION(" IF(Account!$F231&lt;&gt;"""", SPLIT(Account!$F231, "" ""), """")"),"")</f>
        <v/>
      </c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</row>
    <row r="232">
      <c r="A232" s="11"/>
      <c r="B232" s="11"/>
      <c r="C232" s="11"/>
      <c r="D232" s="11"/>
      <c r="E232" s="11"/>
      <c r="F232" s="12"/>
      <c r="G232" s="215"/>
      <c r="H232" s="11"/>
      <c r="I232" s="11"/>
      <c r="J232" s="11"/>
      <c r="K232" s="11"/>
      <c r="L232" s="45" t="str">
        <f t="shared" si="1"/>
        <v/>
      </c>
      <c r="M232" s="46" t="str">
        <f>IFERROR(__xludf.DUMMYFUNCTION("IF(Account!$F232&lt;&gt;"""", VALUE(REGEXREPLACE($I232, ""\,"", ""."")), """")"),"")</f>
        <v/>
      </c>
      <c r="N232" s="47" t="str">
        <f>IF(Account!$F232&lt;&gt;"", DATEVALUE(MID($A232,4,3) &amp; LEFT($A232,3) &amp; RIGHT($A232,4)) + TIMEVALUE($B232), "")</f>
        <v/>
      </c>
      <c r="O232" s="48" t="str">
        <f>IF(Account!$F232&lt;&gt;"", DATEVALUE(MID($A232,4,3) &amp; LEFT($A232,3) &amp; RIGHT($A232,4)), "")</f>
        <v/>
      </c>
      <c r="P232" s="49" t="str">
        <f>IFERROR(VLOOKUP($Q232,Selection!$F:$G,2,false))</f>
        <v/>
      </c>
      <c r="Q232" s="50" t="str">
        <f>IF(AND($X232="change",$H232="EUR"),IF(AND($Z232="Crédit",$N232=$N233),$Q233,IF(AND($Z232="Débit",$N232=$N231),$Q231)),IF(OR(AND(OR($E232&lt;&gt;"",$L232=""),$M232&lt;&gt;0),$A232=""),IFERROR(VLOOKUP($E232,Selection!$E:$F,2,false)),IFERROR(VLOOKUP(SUBSTITUTE($I232,"-","",1),$K233:$Q1119,7,false),VLOOKUP($K232,$K233:$Q1119,7,false))))</f>
        <v/>
      </c>
      <c r="R232" s="49" t="str">
        <f t="shared" si="2"/>
        <v/>
      </c>
      <c r="S232" s="51" t="str">
        <f t="shared" si="3"/>
        <v/>
      </c>
      <c r="T232" s="52" t="str">
        <f t="shared" si="4"/>
        <v/>
      </c>
      <c r="U232" s="46" t="str">
        <f t="shared" si="5"/>
        <v/>
      </c>
      <c r="V232" s="53" t="str">
        <f>IFERROR(__xludf.DUMMYFUNCTION(" IF(Account!$F232&lt;&gt;"""", SPLIT(Account!$F232, "" ""), """")"),"")</f>
        <v/>
      </c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</row>
    <row r="233">
      <c r="A233" s="11"/>
      <c r="B233" s="11"/>
      <c r="C233" s="11"/>
      <c r="D233" s="11"/>
      <c r="E233" s="11"/>
      <c r="F233" s="12"/>
      <c r="G233" s="11"/>
      <c r="H233" s="11"/>
      <c r="I233" s="11"/>
      <c r="J233" s="11"/>
      <c r="K233" s="11"/>
      <c r="L233" s="45" t="str">
        <f t="shared" si="1"/>
        <v/>
      </c>
      <c r="M233" s="46" t="str">
        <f>IFERROR(__xludf.DUMMYFUNCTION("IF(Account!$F233&lt;&gt;"""", VALUE(REGEXREPLACE($I233, ""\,"", ""."")), """")"),"")</f>
        <v/>
      </c>
      <c r="N233" s="47" t="str">
        <f>IF(Account!$F233&lt;&gt;"", DATEVALUE(MID($A233,4,3) &amp; LEFT($A233,3) &amp; RIGHT($A233,4)) + TIMEVALUE($B233), "")</f>
        <v/>
      </c>
      <c r="O233" s="48" t="str">
        <f>IF(Account!$F233&lt;&gt;"", DATEVALUE(MID($A233,4,3) &amp; LEFT($A233,3) &amp; RIGHT($A233,4)), "")</f>
        <v/>
      </c>
      <c r="P233" s="49" t="str">
        <f>IFERROR(VLOOKUP($Q233,Selection!$F:$G,2,false))</f>
        <v/>
      </c>
      <c r="Q233" s="50" t="str">
        <f>IF(AND($X233="change",$H233="EUR"),IF(AND($Z233="Crédit",$N233=$N234),$Q234,IF(AND($Z233="Débit",$N233=$N232),$Q232)),IF(OR(AND(OR($E233&lt;&gt;"",$L233=""),$M233&lt;&gt;0),$A233=""),IFERROR(VLOOKUP($E233,Selection!$E:$F,2,false)),IFERROR(VLOOKUP(SUBSTITUTE($I233,"-","",1),$K234:$Q1119,7,false),VLOOKUP($K233,$K234:$Q1119,7,false))))</f>
        <v/>
      </c>
      <c r="R233" s="49" t="str">
        <f t="shared" si="2"/>
        <v/>
      </c>
      <c r="S233" s="51" t="str">
        <f t="shared" si="3"/>
        <v/>
      </c>
      <c r="T233" s="52" t="str">
        <f t="shared" si="4"/>
        <v/>
      </c>
      <c r="U233" s="46" t="str">
        <f t="shared" si="5"/>
        <v/>
      </c>
      <c r="V233" s="53" t="str">
        <f>IFERROR(__xludf.DUMMYFUNCTION(" IF(Account!$F233&lt;&gt;"""", SPLIT(Account!$F233, "" ""), """")"),"")</f>
        <v/>
      </c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</row>
    <row r="234">
      <c r="A234" s="11"/>
      <c r="B234" s="11"/>
      <c r="C234" s="11"/>
      <c r="D234" s="11"/>
      <c r="E234" s="11"/>
      <c r="F234" s="12"/>
      <c r="G234" s="215"/>
      <c r="H234" s="11"/>
      <c r="I234" s="11"/>
      <c r="J234" s="11"/>
      <c r="K234" s="11"/>
      <c r="L234" s="45" t="str">
        <f t="shared" si="1"/>
        <v/>
      </c>
      <c r="M234" s="46" t="str">
        <f>IFERROR(__xludf.DUMMYFUNCTION("IF(Account!$F234&lt;&gt;"""", VALUE(REGEXREPLACE($I234, ""\,"", ""."")), """")"),"")</f>
        <v/>
      </c>
      <c r="N234" s="47" t="str">
        <f>IF(Account!$F234&lt;&gt;"", DATEVALUE(MID($A234,4,3) &amp; LEFT($A234,3) &amp; RIGHT($A234,4)) + TIMEVALUE($B234), "")</f>
        <v/>
      </c>
      <c r="O234" s="48" t="str">
        <f>IF(Account!$F234&lt;&gt;"", DATEVALUE(MID($A234,4,3) &amp; LEFT($A234,3) &amp; RIGHT($A234,4)), "")</f>
        <v/>
      </c>
      <c r="P234" s="49" t="str">
        <f>IFERROR(VLOOKUP($Q234,Selection!$F:$G,2,false))</f>
        <v/>
      </c>
      <c r="Q234" s="50" t="str">
        <f>IF(AND($X234="change",$H234="EUR"),IF(AND($Z234="Crédit",$N234=$N235),$Q235,IF(AND($Z234="Débit",$N234=$N233),$Q233)),IF(OR(AND(OR($E234&lt;&gt;"",$L234=""),$M234&lt;&gt;0),$A234=""),IFERROR(VLOOKUP($E234,Selection!$E:$F,2,false)),IFERROR(VLOOKUP(SUBSTITUTE($I234,"-","",1),$K235:$Q1119,7,false),VLOOKUP($K234,$K235:$Q1119,7,false))))</f>
        <v/>
      </c>
      <c r="R234" s="49" t="str">
        <f t="shared" si="2"/>
        <v/>
      </c>
      <c r="S234" s="51" t="str">
        <f t="shared" si="3"/>
        <v/>
      </c>
      <c r="T234" s="52" t="str">
        <f t="shared" si="4"/>
        <v/>
      </c>
      <c r="U234" s="46" t="str">
        <f t="shared" si="5"/>
        <v/>
      </c>
      <c r="V234" s="53" t="str">
        <f>IFERROR(__xludf.DUMMYFUNCTION(" IF(Account!$F234&lt;&gt;"""", SPLIT(Account!$F234, "" ""), """")"),"")</f>
        <v/>
      </c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</row>
    <row r="235">
      <c r="A235" s="11"/>
      <c r="B235" s="11"/>
      <c r="C235" s="11"/>
      <c r="D235" s="11"/>
      <c r="E235" s="11"/>
      <c r="F235" s="12"/>
      <c r="G235" s="11"/>
      <c r="H235" s="11"/>
      <c r="I235" s="11"/>
      <c r="J235" s="11"/>
      <c r="K235" s="11"/>
      <c r="L235" s="45" t="str">
        <f t="shared" si="1"/>
        <v/>
      </c>
      <c r="M235" s="46" t="str">
        <f>IFERROR(__xludf.DUMMYFUNCTION("IF(Account!$F235&lt;&gt;"""", VALUE(REGEXREPLACE($I235, ""\,"", ""."")), """")"),"")</f>
        <v/>
      </c>
      <c r="N235" s="47" t="str">
        <f>IF(Account!$F235&lt;&gt;"", DATEVALUE(MID($A235,4,3) &amp; LEFT($A235,3) &amp; RIGHT($A235,4)) + TIMEVALUE($B235), "")</f>
        <v/>
      </c>
      <c r="O235" s="48" t="str">
        <f>IF(Account!$F235&lt;&gt;"", DATEVALUE(MID($A235,4,3) &amp; LEFT($A235,3) &amp; RIGHT($A235,4)), "")</f>
        <v/>
      </c>
      <c r="P235" s="49" t="str">
        <f>IFERROR(VLOOKUP($Q235,Selection!$F:$G,2,false))</f>
        <v/>
      </c>
      <c r="Q235" s="50" t="str">
        <f>IF(AND($X235="change",$H235="EUR"),IF(AND($Z235="Crédit",$N235=$N236),$Q236,IF(AND($Z235="Débit",$N235=$N234),$Q234)),IF(OR(AND(OR($E235&lt;&gt;"",$L235=""),$M235&lt;&gt;0),$A235=""),IFERROR(VLOOKUP($E235,Selection!$E:$F,2,false)),IFERROR(VLOOKUP(SUBSTITUTE($I235,"-","",1),$K236:$Q1119,7,false),VLOOKUP($K235,$K236:$Q1119,7,false))))</f>
        <v/>
      </c>
      <c r="R235" s="49" t="str">
        <f t="shared" si="2"/>
        <v/>
      </c>
      <c r="S235" s="51" t="str">
        <f t="shared" si="3"/>
        <v/>
      </c>
      <c r="T235" s="52" t="str">
        <f t="shared" si="4"/>
        <v/>
      </c>
      <c r="U235" s="46" t="str">
        <f t="shared" si="5"/>
        <v/>
      </c>
      <c r="V235" s="53" t="str">
        <f>IFERROR(__xludf.DUMMYFUNCTION(" IF(Account!$F235&lt;&gt;"""", SPLIT(Account!$F235, "" ""), """")"),"")</f>
        <v/>
      </c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</row>
    <row r="236">
      <c r="A236" s="11"/>
      <c r="B236" s="11"/>
      <c r="C236" s="11"/>
      <c r="D236" s="11"/>
      <c r="E236" s="11"/>
      <c r="F236" s="12"/>
      <c r="G236" s="11"/>
      <c r="H236" s="11"/>
      <c r="I236" s="11"/>
      <c r="J236" s="11"/>
      <c r="K236" s="11"/>
      <c r="L236" s="45" t="str">
        <f t="shared" si="1"/>
        <v/>
      </c>
      <c r="M236" s="46" t="str">
        <f>IFERROR(__xludf.DUMMYFUNCTION("IF(Account!$F236&lt;&gt;"""", VALUE(REGEXREPLACE($I236, ""\,"", ""."")), """")"),"")</f>
        <v/>
      </c>
      <c r="N236" s="47" t="str">
        <f>IF(Account!$F236&lt;&gt;"", DATEVALUE(MID($A236,4,3) &amp; LEFT($A236,3) &amp; RIGHT($A236,4)) + TIMEVALUE($B236), "")</f>
        <v/>
      </c>
      <c r="O236" s="48" t="str">
        <f>IF(Account!$F236&lt;&gt;"", DATEVALUE(MID($A236,4,3) &amp; LEFT($A236,3) &amp; RIGHT($A236,4)), "")</f>
        <v/>
      </c>
      <c r="P236" s="49" t="str">
        <f>IFERROR(VLOOKUP($Q236,Selection!$F:$G,2,false))</f>
        <v/>
      </c>
      <c r="Q236" s="50" t="str">
        <f>IF(AND($X236="change",$H236="EUR"),IF(AND($Z236="Crédit",$N236=$N237),$Q237,IF(AND($Z236="Débit",$N236=$N235),$Q235)),IF(OR(AND(OR($E236&lt;&gt;"",$L236=""),$M236&lt;&gt;0),$A236=""),IFERROR(VLOOKUP($E236,Selection!$E:$F,2,false)),IFERROR(VLOOKUP(SUBSTITUTE($I236,"-","",1),$K237:$Q1119,7,false),VLOOKUP($K236,$K237:$Q1119,7,false))))</f>
        <v/>
      </c>
      <c r="R236" s="49" t="str">
        <f t="shared" si="2"/>
        <v/>
      </c>
      <c r="S236" s="51" t="str">
        <f t="shared" si="3"/>
        <v/>
      </c>
      <c r="T236" s="52" t="str">
        <f t="shared" si="4"/>
        <v/>
      </c>
      <c r="U236" s="46" t="str">
        <f t="shared" si="5"/>
        <v/>
      </c>
      <c r="V236" s="53" t="str">
        <f>IFERROR(__xludf.DUMMYFUNCTION(" IF(Account!$F236&lt;&gt;"""", SPLIT(Account!$F236, "" ""), """")"),"")</f>
        <v/>
      </c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</row>
    <row r="237">
      <c r="A237" s="11"/>
      <c r="B237" s="11"/>
      <c r="C237" s="11"/>
      <c r="D237" s="11"/>
      <c r="E237" s="11"/>
      <c r="F237" s="12"/>
      <c r="G237" s="11"/>
      <c r="H237" s="11"/>
      <c r="I237" s="11"/>
      <c r="J237" s="11"/>
      <c r="K237" s="11"/>
      <c r="L237" s="45" t="str">
        <f t="shared" si="1"/>
        <v/>
      </c>
      <c r="M237" s="46" t="str">
        <f>IFERROR(__xludf.DUMMYFUNCTION("IF(Account!$F237&lt;&gt;"""", VALUE(REGEXREPLACE($I237, ""\,"", ""."")), """")"),"")</f>
        <v/>
      </c>
      <c r="N237" s="47" t="str">
        <f>IF(Account!$F237&lt;&gt;"", DATEVALUE(MID($A237,4,3) &amp; LEFT($A237,3) &amp; RIGHT($A237,4)) + TIMEVALUE($B237), "")</f>
        <v/>
      </c>
      <c r="O237" s="48" t="str">
        <f>IF(Account!$F237&lt;&gt;"", DATEVALUE(MID($A237,4,3) &amp; LEFT($A237,3) &amp; RIGHT($A237,4)), "")</f>
        <v/>
      </c>
      <c r="P237" s="49" t="str">
        <f>IFERROR(VLOOKUP($Q237,Selection!$F:$G,2,false))</f>
        <v/>
      </c>
      <c r="Q237" s="50" t="str">
        <f>IF(AND($X237="change",$H237="EUR"),IF(AND($Z237="Crédit",$N237=$N238),$Q238,IF(AND($Z237="Débit",$N237=$N236),$Q236)),IF(OR(AND(OR($E237&lt;&gt;"",$L237=""),$M237&lt;&gt;0),$A237=""),IFERROR(VLOOKUP($E237,Selection!$E:$F,2,false)),IFERROR(VLOOKUP(SUBSTITUTE($I237,"-","",1),$K238:$Q1119,7,false),VLOOKUP($K237,$K238:$Q1119,7,false))))</f>
        <v/>
      </c>
      <c r="R237" s="49" t="str">
        <f t="shared" si="2"/>
        <v/>
      </c>
      <c r="S237" s="51" t="str">
        <f t="shared" si="3"/>
        <v/>
      </c>
      <c r="T237" s="52" t="str">
        <f t="shared" si="4"/>
        <v/>
      </c>
      <c r="U237" s="46" t="str">
        <f t="shared" si="5"/>
        <v/>
      </c>
      <c r="V237" s="53" t="str">
        <f>IFERROR(__xludf.DUMMYFUNCTION(" IF(Account!$F237&lt;&gt;"""", SPLIT(Account!$F237, "" ""), """")"),"")</f>
        <v/>
      </c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</row>
    <row r="238">
      <c r="A238" s="11"/>
      <c r="B238" s="11"/>
      <c r="C238" s="11"/>
      <c r="D238" s="11"/>
      <c r="E238" s="11"/>
      <c r="F238" s="12"/>
      <c r="G238" s="215"/>
      <c r="H238" s="11"/>
      <c r="I238" s="11"/>
      <c r="J238" s="11"/>
      <c r="K238" s="11"/>
      <c r="L238" s="45" t="str">
        <f t="shared" si="1"/>
        <v/>
      </c>
      <c r="M238" s="46" t="str">
        <f>IFERROR(__xludf.DUMMYFUNCTION("IF(Account!$F238&lt;&gt;"""", VALUE(REGEXREPLACE($I238, ""\,"", ""."")), """")"),"")</f>
        <v/>
      </c>
      <c r="N238" s="47" t="str">
        <f>IF(Account!$F238&lt;&gt;"", DATEVALUE(MID($A238,4,3) &amp; LEFT($A238,3) &amp; RIGHT($A238,4)) + TIMEVALUE($B238), "")</f>
        <v/>
      </c>
      <c r="O238" s="48" t="str">
        <f>IF(Account!$F238&lt;&gt;"", DATEVALUE(MID($A238,4,3) &amp; LEFT($A238,3) &amp; RIGHT($A238,4)), "")</f>
        <v/>
      </c>
      <c r="P238" s="49" t="str">
        <f>IFERROR(VLOOKUP($Q238,Selection!$F:$G,2,false))</f>
        <v/>
      </c>
      <c r="Q238" s="50" t="str">
        <f>IF(AND($X238="change",$H238="EUR"),IF(AND($Z238="Crédit",$N238=$N239),$Q239,IF(AND($Z238="Débit",$N238=$N237),$Q237)),IF(OR(AND(OR($E238&lt;&gt;"",$L238=""),$M238&lt;&gt;0),$A238=""),IFERROR(VLOOKUP($E238,Selection!$E:$F,2,false)),IFERROR(VLOOKUP(SUBSTITUTE($I238,"-","",1),$K239:$Q1119,7,false),VLOOKUP($K238,$K239:$Q1119,7,false))))</f>
        <v/>
      </c>
      <c r="R238" s="49" t="str">
        <f t="shared" si="2"/>
        <v/>
      </c>
      <c r="S238" s="51" t="str">
        <f t="shared" si="3"/>
        <v/>
      </c>
      <c r="T238" s="52" t="str">
        <f t="shared" si="4"/>
        <v/>
      </c>
      <c r="U238" s="46" t="str">
        <f t="shared" si="5"/>
        <v/>
      </c>
      <c r="V238" s="53" t="str">
        <f>IFERROR(__xludf.DUMMYFUNCTION(" IF(Account!$F238&lt;&gt;"""", SPLIT(Account!$F238, "" ""), """")"),"")</f>
        <v/>
      </c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</row>
    <row r="239">
      <c r="A239" s="11"/>
      <c r="B239" s="11"/>
      <c r="C239" s="11"/>
      <c r="D239" s="11"/>
      <c r="E239" s="11"/>
      <c r="F239" s="12"/>
      <c r="G239" s="11"/>
      <c r="H239" s="11"/>
      <c r="I239" s="11"/>
      <c r="J239" s="11"/>
      <c r="K239" s="11"/>
      <c r="L239" s="45" t="str">
        <f t="shared" si="1"/>
        <v/>
      </c>
      <c r="M239" s="46" t="str">
        <f>IFERROR(__xludf.DUMMYFUNCTION("IF(Account!$F239&lt;&gt;"""", VALUE(REGEXREPLACE($I239, ""\,"", ""."")), """")"),"")</f>
        <v/>
      </c>
      <c r="N239" s="47" t="str">
        <f>IF(Account!$F239&lt;&gt;"", DATEVALUE(MID($A239,4,3) &amp; LEFT($A239,3) &amp; RIGHT($A239,4)) + TIMEVALUE($B239), "")</f>
        <v/>
      </c>
      <c r="O239" s="48" t="str">
        <f>IF(Account!$F239&lt;&gt;"", DATEVALUE(MID($A239,4,3) &amp; LEFT($A239,3) &amp; RIGHT($A239,4)), "")</f>
        <v/>
      </c>
      <c r="P239" s="49" t="str">
        <f>IFERROR(VLOOKUP($Q239,Selection!$F:$G,2,false))</f>
        <v/>
      </c>
      <c r="Q239" s="50" t="str">
        <f>IF(AND($X239="change",$H239="EUR"),IF(AND($Z239="Crédit",$N239=$N240),$Q240,IF(AND($Z239="Débit",$N239=$N238),$Q238)),IF(OR(AND(OR($E239&lt;&gt;"",$L239=""),$M239&lt;&gt;0),$A239=""),IFERROR(VLOOKUP($E239,Selection!$E:$F,2,false)),IFERROR(VLOOKUP(SUBSTITUTE($I239,"-","",1),$K240:$Q1119,7,false),VLOOKUP($K239,$K240:$Q1119,7,false))))</f>
        <v/>
      </c>
      <c r="R239" s="49" t="str">
        <f t="shared" si="2"/>
        <v/>
      </c>
      <c r="S239" s="51" t="str">
        <f t="shared" si="3"/>
        <v/>
      </c>
      <c r="T239" s="52" t="str">
        <f t="shared" si="4"/>
        <v/>
      </c>
      <c r="U239" s="46" t="str">
        <f t="shared" si="5"/>
        <v/>
      </c>
      <c r="V239" s="53" t="str">
        <f>IFERROR(__xludf.DUMMYFUNCTION(" IF(Account!$F239&lt;&gt;"""", SPLIT(Account!$F239, "" ""), """")"),"")</f>
        <v/>
      </c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</row>
    <row r="240">
      <c r="A240" s="11"/>
      <c r="B240" s="11"/>
      <c r="C240" s="11"/>
      <c r="D240" s="11"/>
      <c r="E240" s="11"/>
      <c r="F240" s="12"/>
      <c r="G240" s="215"/>
      <c r="H240" s="11"/>
      <c r="I240" s="11"/>
      <c r="J240" s="11"/>
      <c r="K240" s="11"/>
      <c r="L240" s="45" t="str">
        <f t="shared" si="1"/>
        <v/>
      </c>
      <c r="M240" s="46" t="str">
        <f>IFERROR(__xludf.DUMMYFUNCTION("IF(Account!$F240&lt;&gt;"""", VALUE(REGEXREPLACE($I240, ""\,"", ""."")), """")"),"")</f>
        <v/>
      </c>
      <c r="N240" s="47" t="str">
        <f>IF(Account!$F240&lt;&gt;"", DATEVALUE(MID($A240,4,3) &amp; LEFT($A240,3) &amp; RIGHT($A240,4)) + TIMEVALUE($B240), "")</f>
        <v/>
      </c>
      <c r="O240" s="48" t="str">
        <f>IF(Account!$F240&lt;&gt;"", DATEVALUE(MID($A240,4,3) &amp; LEFT($A240,3) &amp; RIGHT($A240,4)), "")</f>
        <v/>
      </c>
      <c r="P240" s="49" t="str">
        <f>IFERROR(VLOOKUP($Q240,Selection!$F:$G,2,false))</f>
        <v/>
      </c>
      <c r="Q240" s="50" t="str">
        <f>IF(AND($X240="change",$H240="EUR"),IF(AND($Z240="Crédit",$N240=$N241),$Q241,IF(AND($Z240="Débit",$N240=$N239),$Q239)),IF(OR(AND(OR($E240&lt;&gt;"",$L240=""),$M240&lt;&gt;0),$A240=""),IFERROR(VLOOKUP($E240,Selection!$E:$F,2,false)),IFERROR(VLOOKUP(SUBSTITUTE($I240,"-","",1),$K241:$Q1119,7,false),VLOOKUP($K240,$K241:$Q1119,7,false))))</f>
        <v/>
      </c>
      <c r="R240" s="49" t="str">
        <f t="shared" si="2"/>
        <v/>
      </c>
      <c r="S240" s="51" t="str">
        <f t="shared" si="3"/>
        <v/>
      </c>
      <c r="T240" s="52" t="str">
        <f t="shared" si="4"/>
        <v/>
      </c>
      <c r="U240" s="46" t="str">
        <f t="shared" si="5"/>
        <v/>
      </c>
      <c r="V240" s="53" t="str">
        <f>IFERROR(__xludf.DUMMYFUNCTION(" IF(Account!$F240&lt;&gt;"""", SPLIT(Account!$F240, "" ""), """")"),"")</f>
        <v/>
      </c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</row>
    <row r="241">
      <c r="A241" s="11"/>
      <c r="B241" s="11"/>
      <c r="C241" s="11"/>
      <c r="D241" s="11"/>
      <c r="E241" s="11"/>
      <c r="F241" s="12"/>
      <c r="G241" s="11"/>
      <c r="H241" s="11"/>
      <c r="I241" s="11"/>
      <c r="J241" s="11"/>
      <c r="K241" s="11"/>
      <c r="L241" s="45" t="str">
        <f t="shared" si="1"/>
        <v/>
      </c>
      <c r="M241" s="46" t="str">
        <f>IFERROR(__xludf.DUMMYFUNCTION("IF(Account!$F241&lt;&gt;"""", VALUE(REGEXREPLACE($I241, ""\,"", ""."")), """")"),"")</f>
        <v/>
      </c>
      <c r="N241" s="47" t="str">
        <f>IF(Account!$F241&lt;&gt;"", DATEVALUE(MID($A241,4,3) &amp; LEFT($A241,3) &amp; RIGHT($A241,4)) + TIMEVALUE($B241), "")</f>
        <v/>
      </c>
      <c r="O241" s="48" t="str">
        <f>IF(Account!$F241&lt;&gt;"", DATEVALUE(MID($A241,4,3) &amp; LEFT($A241,3) &amp; RIGHT($A241,4)), "")</f>
        <v/>
      </c>
      <c r="P241" s="49" t="str">
        <f>IFERROR(VLOOKUP($Q241,Selection!$F:$G,2,false))</f>
        <v/>
      </c>
      <c r="Q241" s="50" t="str">
        <f>IF(AND($X241="change",$H241="EUR"),IF(AND($Z241="Crédit",$N241=$N242),$Q242,IF(AND($Z241="Débit",$N241=$N240),$Q240)),IF(OR(AND(OR($E241&lt;&gt;"",$L241=""),$M241&lt;&gt;0),$A241=""),IFERROR(VLOOKUP($E241,Selection!$E:$F,2,false)),IFERROR(VLOOKUP(SUBSTITUTE($I241,"-","",1),$K242:$Q1119,7,false),VLOOKUP($K241,$K242:$Q1119,7,false))))</f>
        <v/>
      </c>
      <c r="R241" s="49" t="str">
        <f t="shared" si="2"/>
        <v/>
      </c>
      <c r="S241" s="51" t="str">
        <f t="shared" si="3"/>
        <v/>
      </c>
      <c r="T241" s="52" t="str">
        <f t="shared" si="4"/>
        <v/>
      </c>
      <c r="U241" s="46" t="str">
        <f t="shared" si="5"/>
        <v/>
      </c>
      <c r="V241" s="53" t="str">
        <f>IFERROR(__xludf.DUMMYFUNCTION(" IF(Account!$F241&lt;&gt;"""", SPLIT(Account!$F241, "" ""), """")"),"")</f>
        <v/>
      </c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</row>
    <row r="242">
      <c r="A242" s="11"/>
      <c r="B242" s="11"/>
      <c r="C242" s="11"/>
      <c r="D242" s="11"/>
      <c r="E242" s="11"/>
      <c r="F242" s="12"/>
      <c r="G242" s="11"/>
      <c r="H242" s="11"/>
      <c r="I242" s="11"/>
      <c r="J242" s="11"/>
      <c r="K242" s="11"/>
      <c r="L242" s="45" t="str">
        <f t="shared" si="1"/>
        <v/>
      </c>
      <c r="M242" s="46" t="str">
        <f>IFERROR(__xludf.DUMMYFUNCTION("IF(Account!$F242&lt;&gt;"""", VALUE(REGEXREPLACE($I242, ""\,"", ""."")), """")"),"")</f>
        <v/>
      </c>
      <c r="N242" s="47" t="str">
        <f>IF(Account!$F242&lt;&gt;"", DATEVALUE(MID($A242,4,3) &amp; LEFT($A242,3) &amp; RIGHT($A242,4)) + TIMEVALUE($B242), "")</f>
        <v/>
      </c>
      <c r="O242" s="48" t="str">
        <f>IF(Account!$F242&lt;&gt;"", DATEVALUE(MID($A242,4,3) &amp; LEFT($A242,3) &amp; RIGHT($A242,4)), "")</f>
        <v/>
      </c>
      <c r="P242" s="49" t="str">
        <f>IFERROR(VLOOKUP($Q242,Selection!$F:$G,2,false))</f>
        <v/>
      </c>
      <c r="Q242" s="50" t="str">
        <f>IF(AND($X242="change",$H242="EUR"),IF(AND($Z242="Crédit",$N242=$N243),$Q243,IF(AND($Z242="Débit",$N242=$N241),$Q241)),IF(OR(AND(OR($E242&lt;&gt;"",$L242=""),$M242&lt;&gt;0),$A242=""),IFERROR(VLOOKUP($E242,Selection!$E:$F,2,false)),IFERROR(VLOOKUP(SUBSTITUTE($I242,"-","",1),$K243:$Q1119,7,false),VLOOKUP($K242,$K243:$Q1119,7,false))))</f>
        <v/>
      </c>
      <c r="R242" s="49" t="str">
        <f t="shared" si="2"/>
        <v/>
      </c>
      <c r="S242" s="51" t="str">
        <f t="shared" si="3"/>
        <v/>
      </c>
      <c r="T242" s="52" t="str">
        <f t="shared" si="4"/>
        <v/>
      </c>
      <c r="U242" s="46" t="str">
        <f t="shared" si="5"/>
        <v/>
      </c>
      <c r="V242" s="53" t="str">
        <f>IFERROR(__xludf.DUMMYFUNCTION(" IF(Account!$F242&lt;&gt;"""", SPLIT(Account!$F242, "" ""), """")"),"")</f>
        <v/>
      </c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</row>
    <row r="243">
      <c r="A243" s="11"/>
      <c r="B243" s="11"/>
      <c r="C243" s="11"/>
      <c r="D243" s="11"/>
      <c r="E243" s="11"/>
      <c r="F243" s="12"/>
      <c r="G243" s="11"/>
      <c r="H243" s="11"/>
      <c r="I243" s="11"/>
      <c r="J243" s="11"/>
      <c r="K243" s="11"/>
      <c r="L243" s="45" t="str">
        <f t="shared" si="1"/>
        <v/>
      </c>
      <c r="M243" s="46" t="str">
        <f>IFERROR(__xludf.DUMMYFUNCTION("IF(Account!$F243&lt;&gt;"""", VALUE(REGEXREPLACE($I243, ""\,"", ""."")), """")"),"")</f>
        <v/>
      </c>
      <c r="N243" s="47" t="str">
        <f>IF(Account!$F243&lt;&gt;"", DATEVALUE(MID($A243,4,3) &amp; LEFT($A243,3) &amp; RIGHT($A243,4)) + TIMEVALUE($B243), "")</f>
        <v/>
      </c>
      <c r="O243" s="48" t="str">
        <f>IF(Account!$F243&lt;&gt;"", DATEVALUE(MID($A243,4,3) &amp; LEFT($A243,3) &amp; RIGHT($A243,4)), "")</f>
        <v/>
      </c>
      <c r="P243" s="49" t="str">
        <f>IFERROR(VLOOKUP($Q243,Selection!$F:$G,2,false))</f>
        <v/>
      </c>
      <c r="Q243" s="50" t="str">
        <f>IF(AND($X243="change",$H243="EUR"),IF(AND($Z243="Crédit",$N243=$N244),$Q244,IF(AND($Z243="Débit",$N243=$N242),$Q242)),IF(OR(AND(OR($E243&lt;&gt;"",$L243=""),$M243&lt;&gt;0),$A243=""),IFERROR(VLOOKUP($E243,Selection!$E:$F,2,false)),IFERROR(VLOOKUP(SUBSTITUTE($I243,"-","",1),$K244:$Q1119,7,false),VLOOKUP($K243,$K244:$Q1119,7,false))))</f>
        <v/>
      </c>
      <c r="R243" s="49" t="str">
        <f t="shared" si="2"/>
        <v/>
      </c>
      <c r="S243" s="51" t="str">
        <f t="shared" si="3"/>
        <v/>
      </c>
      <c r="T243" s="52" t="str">
        <f t="shared" si="4"/>
        <v/>
      </c>
      <c r="U243" s="46" t="str">
        <f t="shared" si="5"/>
        <v/>
      </c>
      <c r="V243" s="53" t="str">
        <f>IFERROR(__xludf.DUMMYFUNCTION(" IF(Account!$F243&lt;&gt;"""", SPLIT(Account!$F243, "" ""), """")"),"")</f>
        <v/>
      </c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</row>
    <row r="244">
      <c r="A244" s="11"/>
      <c r="B244" s="11"/>
      <c r="C244" s="11"/>
      <c r="D244" s="11"/>
      <c r="E244" s="11"/>
      <c r="F244" s="12"/>
      <c r="G244" s="215"/>
      <c r="H244" s="11"/>
      <c r="I244" s="11"/>
      <c r="J244" s="11"/>
      <c r="K244" s="11"/>
      <c r="L244" s="45" t="str">
        <f t="shared" si="1"/>
        <v/>
      </c>
      <c r="M244" s="46" t="str">
        <f>IFERROR(__xludf.DUMMYFUNCTION("IF(Account!$F244&lt;&gt;"""", VALUE(REGEXREPLACE($I244, ""\,"", ""."")), """")"),"")</f>
        <v/>
      </c>
      <c r="N244" s="47" t="str">
        <f>IF(Account!$F244&lt;&gt;"", DATEVALUE(MID($A244,4,3) &amp; LEFT($A244,3) &amp; RIGHT($A244,4)) + TIMEVALUE($B244), "")</f>
        <v/>
      </c>
      <c r="O244" s="48" t="str">
        <f>IF(Account!$F244&lt;&gt;"", DATEVALUE(MID($A244,4,3) &amp; LEFT($A244,3) &amp; RIGHT($A244,4)), "")</f>
        <v/>
      </c>
      <c r="P244" s="49" t="str">
        <f>IFERROR(VLOOKUP($Q244,Selection!$F:$G,2,false))</f>
        <v/>
      </c>
      <c r="Q244" s="50" t="str">
        <f>IF(AND($X244="change",$H244="EUR"),IF(AND($Z244="Crédit",$N244=$N245),$Q245,IF(AND($Z244="Débit",$N244=$N243),$Q243)),IF(OR(AND(OR($E244&lt;&gt;"",$L244=""),$M244&lt;&gt;0),$A244=""),IFERROR(VLOOKUP($E244,Selection!$E:$F,2,false)),IFERROR(VLOOKUP(SUBSTITUTE($I244,"-","",1),$K245:$Q1119,7,false),VLOOKUP($K244,$K245:$Q1119,7,false))))</f>
        <v/>
      </c>
      <c r="R244" s="49" t="str">
        <f t="shared" si="2"/>
        <v/>
      </c>
      <c r="S244" s="51" t="str">
        <f t="shared" si="3"/>
        <v/>
      </c>
      <c r="T244" s="52" t="str">
        <f t="shared" si="4"/>
        <v/>
      </c>
      <c r="U244" s="46" t="str">
        <f t="shared" si="5"/>
        <v/>
      </c>
      <c r="V244" s="53" t="str">
        <f>IFERROR(__xludf.DUMMYFUNCTION(" IF(Account!$F244&lt;&gt;"""", SPLIT(Account!$F244, "" ""), """")"),"")</f>
        <v/>
      </c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</row>
    <row r="245">
      <c r="A245" s="11"/>
      <c r="B245" s="11"/>
      <c r="C245" s="11"/>
      <c r="D245" s="11"/>
      <c r="E245" s="11"/>
      <c r="F245" s="12"/>
      <c r="G245" s="11"/>
      <c r="H245" s="11"/>
      <c r="I245" s="11"/>
      <c r="J245" s="11"/>
      <c r="K245" s="11"/>
      <c r="L245" s="45" t="str">
        <f t="shared" si="1"/>
        <v/>
      </c>
      <c r="M245" s="46" t="str">
        <f>IFERROR(__xludf.DUMMYFUNCTION("IF(Account!$F245&lt;&gt;"""", VALUE(REGEXREPLACE($I245, ""\,"", ""."")), """")"),"")</f>
        <v/>
      </c>
      <c r="N245" s="47" t="str">
        <f>IF(Account!$F245&lt;&gt;"", DATEVALUE(MID($A245,4,3) &amp; LEFT($A245,3) &amp; RIGHT($A245,4)) + TIMEVALUE($B245), "")</f>
        <v/>
      </c>
      <c r="O245" s="48" t="str">
        <f>IF(Account!$F245&lt;&gt;"", DATEVALUE(MID($A245,4,3) &amp; LEFT($A245,3) &amp; RIGHT($A245,4)), "")</f>
        <v/>
      </c>
      <c r="P245" s="49" t="str">
        <f>IFERROR(VLOOKUP($Q245,Selection!$F:$G,2,false))</f>
        <v/>
      </c>
      <c r="Q245" s="50" t="str">
        <f>IF(AND($X245="change",$H245="EUR"),IF(AND($Z245="Crédit",$N245=$N246),$Q246,IF(AND($Z245="Débit",$N245=$N244),$Q244)),IF(OR(AND(OR($E245&lt;&gt;"",$L245=""),$M245&lt;&gt;0),$A245=""),IFERROR(VLOOKUP($E245,Selection!$E:$F,2,false)),IFERROR(VLOOKUP(SUBSTITUTE($I245,"-","",1),$K246:$Q1119,7,false),VLOOKUP($K245,$K246:$Q1119,7,false))))</f>
        <v/>
      </c>
      <c r="R245" s="49" t="str">
        <f t="shared" si="2"/>
        <v/>
      </c>
      <c r="S245" s="51" t="str">
        <f t="shared" si="3"/>
        <v/>
      </c>
      <c r="T245" s="52" t="str">
        <f t="shared" si="4"/>
        <v/>
      </c>
      <c r="U245" s="46" t="str">
        <f t="shared" si="5"/>
        <v/>
      </c>
      <c r="V245" s="53" t="str">
        <f>IFERROR(__xludf.DUMMYFUNCTION(" IF(Account!$F245&lt;&gt;"""", SPLIT(Account!$F245, "" ""), """")"),"")</f>
        <v/>
      </c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</row>
    <row r="246">
      <c r="A246" s="11"/>
      <c r="B246" s="11"/>
      <c r="C246" s="11"/>
      <c r="D246" s="11"/>
      <c r="E246" s="11"/>
      <c r="F246" s="12"/>
      <c r="G246" s="215"/>
      <c r="H246" s="11"/>
      <c r="I246" s="11"/>
      <c r="J246" s="11"/>
      <c r="K246" s="11"/>
      <c r="L246" s="45" t="str">
        <f t="shared" si="1"/>
        <v/>
      </c>
      <c r="M246" s="46" t="str">
        <f>IFERROR(__xludf.DUMMYFUNCTION("IF(Account!$F246&lt;&gt;"""", VALUE(REGEXREPLACE($I246, ""\,"", ""."")), """")"),"")</f>
        <v/>
      </c>
      <c r="N246" s="47" t="str">
        <f>IF(Account!$F246&lt;&gt;"", DATEVALUE(MID($A246,4,3) &amp; LEFT($A246,3) &amp; RIGHT($A246,4)) + TIMEVALUE($B246), "")</f>
        <v/>
      </c>
      <c r="O246" s="48" t="str">
        <f>IF(Account!$F246&lt;&gt;"", DATEVALUE(MID($A246,4,3) &amp; LEFT($A246,3) &amp; RIGHT($A246,4)), "")</f>
        <v/>
      </c>
      <c r="P246" s="49" t="str">
        <f>IFERROR(VLOOKUP($Q246,Selection!$F:$G,2,false))</f>
        <v/>
      </c>
      <c r="Q246" s="50" t="str">
        <f>IF(AND($X246="change",$H246="EUR"),IF(AND($Z246="Crédit",$N246=$N247),$Q247,IF(AND($Z246="Débit",$N246=$N245),$Q245)),IF(OR(AND(OR($E246&lt;&gt;"",$L246=""),$M246&lt;&gt;0),$A246=""),IFERROR(VLOOKUP($E246,Selection!$E:$F,2,false)),IFERROR(VLOOKUP(SUBSTITUTE($I246,"-","",1),$K247:$Q1119,7,false),VLOOKUP($K246,$K247:$Q1119,7,false))))</f>
        <v/>
      </c>
      <c r="R246" s="49" t="str">
        <f t="shared" si="2"/>
        <v/>
      </c>
      <c r="S246" s="51" t="str">
        <f t="shared" si="3"/>
        <v/>
      </c>
      <c r="T246" s="52" t="str">
        <f t="shared" si="4"/>
        <v/>
      </c>
      <c r="U246" s="46" t="str">
        <f t="shared" si="5"/>
        <v/>
      </c>
      <c r="V246" s="53" t="str">
        <f>IFERROR(__xludf.DUMMYFUNCTION(" IF(Account!$F246&lt;&gt;"""", SPLIT(Account!$F246, "" ""), """")"),"")</f>
        <v/>
      </c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</row>
    <row r="247">
      <c r="A247" s="11"/>
      <c r="B247" s="11"/>
      <c r="C247" s="11"/>
      <c r="D247" s="11"/>
      <c r="E247" s="11"/>
      <c r="F247" s="12"/>
      <c r="G247" s="11"/>
      <c r="H247" s="11"/>
      <c r="I247" s="11"/>
      <c r="J247" s="11"/>
      <c r="K247" s="11"/>
      <c r="L247" s="45" t="str">
        <f t="shared" si="1"/>
        <v/>
      </c>
      <c r="M247" s="46" t="str">
        <f>IFERROR(__xludf.DUMMYFUNCTION("IF(Account!$F247&lt;&gt;"""", VALUE(REGEXREPLACE($I247, ""\,"", ""."")), """")"),"")</f>
        <v/>
      </c>
      <c r="N247" s="47" t="str">
        <f>IF(Account!$F247&lt;&gt;"", DATEVALUE(MID($A247,4,3) &amp; LEFT($A247,3) &amp; RIGHT($A247,4)) + TIMEVALUE($B247), "")</f>
        <v/>
      </c>
      <c r="O247" s="48" t="str">
        <f>IF(Account!$F247&lt;&gt;"", DATEVALUE(MID($A247,4,3) &amp; LEFT($A247,3) &amp; RIGHT($A247,4)), "")</f>
        <v/>
      </c>
      <c r="P247" s="49" t="str">
        <f>IFERROR(VLOOKUP($Q247,Selection!$F:$G,2,false))</f>
        <v/>
      </c>
      <c r="Q247" s="50" t="str">
        <f>IF(AND($X247="change",$H247="EUR"),IF(AND($Z247="Crédit",$N247=$N248),$Q248,IF(AND($Z247="Débit",$N247=$N246),$Q246)),IF(OR(AND(OR($E247&lt;&gt;"",$L247=""),$M247&lt;&gt;0),$A247=""),IFERROR(VLOOKUP($E247,Selection!$E:$F,2,false)),IFERROR(VLOOKUP(SUBSTITUTE($I247,"-","",1),$K248:$Q1119,7,false),VLOOKUP($K247,$K248:$Q1119,7,false))))</f>
        <v/>
      </c>
      <c r="R247" s="49" t="str">
        <f t="shared" si="2"/>
        <v/>
      </c>
      <c r="S247" s="51" t="str">
        <f t="shared" si="3"/>
        <v/>
      </c>
      <c r="T247" s="52" t="str">
        <f t="shared" si="4"/>
        <v/>
      </c>
      <c r="U247" s="46" t="str">
        <f t="shared" si="5"/>
        <v/>
      </c>
      <c r="V247" s="53" t="str">
        <f>IFERROR(__xludf.DUMMYFUNCTION(" IF(Account!$F247&lt;&gt;"""", SPLIT(Account!$F247, "" ""), """")"),"")</f>
        <v/>
      </c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</row>
    <row r="248">
      <c r="A248" s="11"/>
      <c r="B248" s="11"/>
      <c r="C248" s="11"/>
      <c r="D248" s="11"/>
      <c r="E248" s="11"/>
      <c r="F248" s="12"/>
      <c r="G248" s="215"/>
      <c r="H248" s="11"/>
      <c r="I248" s="11"/>
      <c r="J248" s="11"/>
      <c r="K248" s="11"/>
      <c r="L248" s="45" t="str">
        <f t="shared" si="1"/>
        <v/>
      </c>
      <c r="M248" s="46" t="str">
        <f>IFERROR(__xludf.DUMMYFUNCTION("IF(Account!$F248&lt;&gt;"""", VALUE(REGEXREPLACE($I248, ""\,"", ""."")), """")"),"")</f>
        <v/>
      </c>
      <c r="N248" s="47" t="str">
        <f>IF(Account!$F248&lt;&gt;"", DATEVALUE(MID($A248,4,3) &amp; LEFT($A248,3) &amp; RIGHT($A248,4)) + TIMEVALUE($B248), "")</f>
        <v/>
      </c>
      <c r="O248" s="48" t="str">
        <f>IF(Account!$F248&lt;&gt;"", DATEVALUE(MID($A248,4,3) &amp; LEFT($A248,3) &amp; RIGHT($A248,4)), "")</f>
        <v/>
      </c>
      <c r="P248" s="49" t="str">
        <f>IFERROR(VLOOKUP($Q248,Selection!$F:$G,2,false))</f>
        <v/>
      </c>
      <c r="Q248" s="50" t="str">
        <f>IF(AND($X248="change",$H248="EUR"),IF(AND($Z248="Crédit",$N248=$N249),$Q249,IF(AND($Z248="Débit",$N248=$N247),$Q247)),IF(OR(AND(OR($E248&lt;&gt;"",$L248=""),$M248&lt;&gt;0),$A248=""),IFERROR(VLOOKUP($E248,Selection!$E:$F,2,false)),IFERROR(VLOOKUP(SUBSTITUTE($I248,"-","",1),$K249:$Q1119,7,false),VLOOKUP($K248,$K249:$Q1119,7,false))))</f>
        <v/>
      </c>
      <c r="R248" s="49" t="str">
        <f t="shared" si="2"/>
        <v/>
      </c>
      <c r="S248" s="51" t="str">
        <f t="shared" si="3"/>
        <v/>
      </c>
      <c r="T248" s="52" t="str">
        <f t="shared" si="4"/>
        <v/>
      </c>
      <c r="U248" s="46" t="str">
        <f t="shared" si="5"/>
        <v/>
      </c>
      <c r="V248" s="53" t="str">
        <f>IFERROR(__xludf.DUMMYFUNCTION(" IF(Account!$F248&lt;&gt;"""", SPLIT(Account!$F248, "" ""), """")"),"")</f>
        <v/>
      </c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</row>
    <row r="249">
      <c r="A249" s="11"/>
      <c r="B249" s="11"/>
      <c r="C249" s="11"/>
      <c r="D249" s="11"/>
      <c r="E249" s="11"/>
      <c r="F249" s="12"/>
      <c r="G249" s="11"/>
      <c r="H249" s="11"/>
      <c r="I249" s="11"/>
      <c r="J249" s="11"/>
      <c r="K249" s="11"/>
      <c r="L249" s="45" t="str">
        <f t="shared" si="1"/>
        <v/>
      </c>
      <c r="M249" s="46" t="str">
        <f>IFERROR(__xludf.DUMMYFUNCTION("IF(Account!$F249&lt;&gt;"""", VALUE(REGEXREPLACE($I249, ""\,"", ""."")), """")"),"")</f>
        <v/>
      </c>
      <c r="N249" s="47" t="str">
        <f>IF(Account!$F249&lt;&gt;"", DATEVALUE(MID($A249,4,3) &amp; LEFT($A249,3) &amp; RIGHT($A249,4)) + TIMEVALUE($B249), "")</f>
        <v/>
      </c>
      <c r="O249" s="48" t="str">
        <f>IF(Account!$F249&lt;&gt;"", DATEVALUE(MID($A249,4,3) &amp; LEFT($A249,3) &amp; RIGHT($A249,4)), "")</f>
        <v/>
      </c>
      <c r="P249" s="49" t="str">
        <f>IFERROR(VLOOKUP($Q249,Selection!$F:$G,2,false))</f>
        <v/>
      </c>
      <c r="Q249" s="50" t="str">
        <f>IF(AND($X249="change",$H249="EUR"),IF(AND($Z249="Crédit",$N249=$N250),$Q250,IF(AND($Z249="Débit",$N249=$N248),$Q248)),IF(OR(AND(OR($E249&lt;&gt;"",$L249=""),$M249&lt;&gt;0),$A249=""),IFERROR(VLOOKUP($E249,Selection!$E:$F,2,false)),IFERROR(VLOOKUP(SUBSTITUTE($I249,"-","",1),$K250:$Q1119,7,false),VLOOKUP($K249,$K250:$Q1119,7,false))))</f>
        <v/>
      </c>
      <c r="R249" s="49" t="str">
        <f t="shared" si="2"/>
        <v/>
      </c>
      <c r="S249" s="51" t="str">
        <f t="shared" si="3"/>
        <v/>
      </c>
      <c r="T249" s="52" t="str">
        <f t="shared" si="4"/>
        <v/>
      </c>
      <c r="U249" s="46" t="str">
        <f t="shared" si="5"/>
        <v/>
      </c>
      <c r="V249" s="53" t="str">
        <f>IFERROR(__xludf.DUMMYFUNCTION(" IF(Account!$F249&lt;&gt;"""", SPLIT(Account!$F249, "" ""), """")"),"")</f>
        <v/>
      </c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</row>
    <row r="250">
      <c r="A250" s="11"/>
      <c r="B250" s="11"/>
      <c r="C250" s="11"/>
      <c r="D250" s="11"/>
      <c r="E250" s="11"/>
      <c r="F250" s="12"/>
      <c r="G250" s="215"/>
      <c r="H250" s="11"/>
      <c r="I250" s="11"/>
      <c r="J250" s="11"/>
      <c r="K250" s="11"/>
      <c r="L250" s="45" t="str">
        <f t="shared" si="1"/>
        <v/>
      </c>
      <c r="M250" s="46" t="str">
        <f>IFERROR(__xludf.DUMMYFUNCTION("IF(Account!$F250&lt;&gt;"""", VALUE(REGEXREPLACE($I250, ""\,"", ""."")), """")"),"")</f>
        <v/>
      </c>
      <c r="N250" s="47" t="str">
        <f>IF(Account!$F250&lt;&gt;"", DATEVALUE(MID($A250,4,3) &amp; LEFT($A250,3) &amp; RIGHT($A250,4)) + TIMEVALUE($B250), "")</f>
        <v/>
      </c>
      <c r="O250" s="48" t="str">
        <f>IF(Account!$F250&lt;&gt;"", DATEVALUE(MID($A250,4,3) &amp; LEFT($A250,3) &amp; RIGHT($A250,4)), "")</f>
        <v/>
      </c>
      <c r="P250" s="49" t="str">
        <f>IFERROR(VLOOKUP($Q250,Selection!$F:$G,2,false))</f>
        <v/>
      </c>
      <c r="Q250" s="50" t="str">
        <f>IF(AND($X250="change",$H250="EUR"),IF(AND($Z250="Crédit",$N250=$N251),$Q251,IF(AND($Z250="Débit",$N250=$N249),$Q249)),IF(OR(AND(OR($E250&lt;&gt;"",$L250=""),$M250&lt;&gt;0),$A250=""),IFERROR(VLOOKUP($E250,Selection!$E:$F,2,false)),IFERROR(VLOOKUP(SUBSTITUTE($I250,"-","",1),$K251:$Q1119,7,false),VLOOKUP($K250,$K251:$Q1119,7,false))))</f>
        <v/>
      </c>
      <c r="R250" s="49" t="str">
        <f t="shared" si="2"/>
        <v/>
      </c>
      <c r="S250" s="51" t="str">
        <f t="shared" si="3"/>
        <v/>
      </c>
      <c r="T250" s="52" t="str">
        <f t="shared" si="4"/>
        <v/>
      </c>
      <c r="U250" s="46" t="str">
        <f t="shared" si="5"/>
        <v/>
      </c>
      <c r="V250" s="53" t="str">
        <f>IFERROR(__xludf.DUMMYFUNCTION(" IF(Account!$F250&lt;&gt;"""", SPLIT(Account!$F250, "" ""), """")"),"")</f>
        <v/>
      </c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</row>
    <row r="251">
      <c r="A251" s="11"/>
      <c r="B251" s="11"/>
      <c r="C251" s="11"/>
      <c r="D251" s="11"/>
      <c r="E251" s="11"/>
      <c r="F251" s="12"/>
      <c r="G251" s="11"/>
      <c r="H251" s="11"/>
      <c r="I251" s="11"/>
      <c r="J251" s="11"/>
      <c r="K251" s="11"/>
      <c r="L251" s="45" t="str">
        <f t="shared" si="1"/>
        <v/>
      </c>
      <c r="M251" s="46" t="str">
        <f>IFERROR(__xludf.DUMMYFUNCTION("IF(Account!$F251&lt;&gt;"""", VALUE(REGEXREPLACE($I251, ""\,"", ""."")), """")"),"")</f>
        <v/>
      </c>
      <c r="N251" s="47" t="str">
        <f>IF(Account!$F251&lt;&gt;"", DATEVALUE(MID($A251,4,3) &amp; LEFT($A251,3) &amp; RIGHT($A251,4)) + TIMEVALUE($B251), "")</f>
        <v/>
      </c>
      <c r="O251" s="48" t="str">
        <f>IF(Account!$F251&lt;&gt;"", DATEVALUE(MID($A251,4,3) &amp; LEFT($A251,3) &amp; RIGHT($A251,4)), "")</f>
        <v/>
      </c>
      <c r="P251" s="49" t="str">
        <f>IFERROR(VLOOKUP($Q251,Selection!$F:$G,2,false))</f>
        <v/>
      </c>
      <c r="Q251" s="50" t="str">
        <f>IF(AND($X251="change",$H251="EUR"),IF(AND($Z251="Crédit",$N251=$N252),$Q252,IF(AND($Z251="Débit",$N251=$N250),$Q250)),IF(OR(AND(OR($E251&lt;&gt;"",$L251=""),$M251&lt;&gt;0),$A251=""),IFERROR(VLOOKUP($E251,Selection!$E:$F,2,false)),IFERROR(VLOOKUP(SUBSTITUTE($I251,"-","",1),$K252:$Q1119,7,false),VLOOKUP($K251,$K252:$Q1119,7,false))))</f>
        <v/>
      </c>
      <c r="R251" s="49" t="str">
        <f t="shared" si="2"/>
        <v/>
      </c>
      <c r="S251" s="51" t="str">
        <f t="shared" si="3"/>
        <v/>
      </c>
      <c r="T251" s="52" t="str">
        <f t="shared" si="4"/>
        <v/>
      </c>
      <c r="U251" s="46" t="str">
        <f t="shared" si="5"/>
        <v/>
      </c>
      <c r="V251" s="53" t="str">
        <f>IFERROR(__xludf.DUMMYFUNCTION(" IF(Account!$F251&lt;&gt;"""", SPLIT(Account!$F251, "" ""), """")"),"")</f>
        <v/>
      </c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</row>
    <row r="252">
      <c r="A252" s="11"/>
      <c r="B252" s="11"/>
      <c r="C252" s="11"/>
      <c r="D252" s="11"/>
      <c r="E252" s="11"/>
      <c r="F252" s="12"/>
      <c r="G252" s="215"/>
      <c r="H252" s="11"/>
      <c r="I252" s="11"/>
      <c r="J252" s="11"/>
      <c r="K252" s="11"/>
      <c r="L252" s="45" t="str">
        <f t="shared" si="1"/>
        <v/>
      </c>
      <c r="M252" s="46" t="str">
        <f>IFERROR(__xludf.DUMMYFUNCTION("IF(Account!$F252&lt;&gt;"""", VALUE(REGEXREPLACE($I252, ""\,"", ""."")), """")"),"")</f>
        <v/>
      </c>
      <c r="N252" s="47" t="str">
        <f>IF(Account!$F252&lt;&gt;"", DATEVALUE(MID($A252,4,3) &amp; LEFT($A252,3) &amp; RIGHT($A252,4)) + TIMEVALUE($B252), "")</f>
        <v/>
      </c>
      <c r="O252" s="48" t="str">
        <f>IF(Account!$F252&lt;&gt;"", DATEVALUE(MID($A252,4,3) &amp; LEFT($A252,3) &amp; RIGHT($A252,4)), "")</f>
        <v/>
      </c>
      <c r="P252" s="49" t="str">
        <f>IFERROR(VLOOKUP($Q252,Selection!$F:$G,2,false))</f>
        <v/>
      </c>
      <c r="Q252" s="50" t="str">
        <f>IF(AND($X252="change",$H252="EUR"),IF(AND($Z252="Crédit",$N252=$N253),$Q253,IF(AND($Z252="Débit",$N252=$N251),$Q251)),IF(OR(AND(OR($E252&lt;&gt;"",$L252=""),$M252&lt;&gt;0),$A252=""),IFERROR(VLOOKUP($E252,Selection!$E:$F,2,false)),IFERROR(VLOOKUP(SUBSTITUTE($I252,"-","",1),$K253:$Q1119,7,false),VLOOKUP($K252,$K253:$Q1119,7,false))))</f>
        <v/>
      </c>
      <c r="R252" s="49" t="str">
        <f t="shared" si="2"/>
        <v/>
      </c>
      <c r="S252" s="51" t="str">
        <f t="shared" si="3"/>
        <v/>
      </c>
      <c r="T252" s="52" t="str">
        <f t="shared" si="4"/>
        <v/>
      </c>
      <c r="U252" s="46" t="str">
        <f t="shared" si="5"/>
        <v/>
      </c>
      <c r="V252" s="53" t="str">
        <f>IFERROR(__xludf.DUMMYFUNCTION(" IF(Account!$F252&lt;&gt;"""", SPLIT(Account!$F252, "" ""), """")"),"")</f>
        <v/>
      </c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</row>
    <row r="253">
      <c r="A253" s="11"/>
      <c r="B253" s="11"/>
      <c r="C253" s="11"/>
      <c r="D253" s="11"/>
      <c r="E253" s="11"/>
      <c r="F253" s="12"/>
      <c r="G253" s="11"/>
      <c r="H253" s="11"/>
      <c r="I253" s="11"/>
      <c r="J253" s="11"/>
      <c r="K253" s="11"/>
      <c r="L253" s="45" t="str">
        <f t="shared" si="1"/>
        <v/>
      </c>
      <c r="M253" s="46" t="str">
        <f>IFERROR(__xludf.DUMMYFUNCTION("IF(Account!$F253&lt;&gt;"""", VALUE(REGEXREPLACE($I253, ""\,"", ""."")), """")"),"")</f>
        <v/>
      </c>
      <c r="N253" s="47" t="str">
        <f>IF(Account!$F253&lt;&gt;"", DATEVALUE(MID($A253,4,3) &amp; LEFT($A253,3) &amp; RIGHT($A253,4)) + TIMEVALUE($B253), "")</f>
        <v/>
      </c>
      <c r="O253" s="48" t="str">
        <f>IF(Account!$F253&lt;&gt;"", DATEVALUE(MID($A253,4,3) &amp; LEFT($A253,3) &amp; RIGHT($A253,4)), "")</f>
        <v/>
      </c>
      <c r="P253" s="49" t="str">
        <f>IFERROR(VLOOKUP($Q253,Selection!$F:$G,2,false))</f>
        <v/>
      </c>
      <c r="Q253" s="50" t="str">
        <f>IF(AND($X253="change",$H253="EUR"),IF(AND($Z253="Crédit",$N253=$N254),$Q254,IF(AND($Z253="Débit",$N253=$N252),$Q252)),IF(OR(AND(OR($E253&lt;&gt;"",$L253=""),$M253&lt;&gt;0),$A253=""),IFERROR(VLOOKUP($E253,Selection!$E:$F,2,false)),IFERROR(VLOOKUP(SUBSTITUTE($I253,"-","",1),$K254:$Q1119,7,false),VLOOKUP($K253,$K254:$Q1119,7,false))))</f>
        <v/>
      </c>
      <c r="R253" s="49" t="str">
        <f t="shared" si="2"/>
        <v/>
      </c>
      <c r="S253" s="51" t="str">
        <f t="shared" si="3"/>
        <v/>
      </c>
      <c r="T253" s="52" t="str">
        <f t="shared" si="4"/>
        <v/>
      </c>
      <c r="U253" s="46" t="str">
        <f t="shared" si="5"/>
        <v/>
      </c>
      <c r="V253" s="53" t="str">
        <f>IFERROR(__xludf.DUMMYFUNCTION(" IF(Account!$F253&lt;&gt;"""", SPLIT(Account!$F253, "" ""), """")"),"")</f>
        <v/>
      </c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</row>
    <row r="254">
      <c r="A254" s="11"/>
      <c r="B254" s="11"/>
      <c r="C254" s="11"/>
      <c r="D254" s="11"/>
      <c r="E254" s="11"/>
      <c r="F254" s="12"/>
      <c r="G254" s="11"/>
      <c r="H254" s="11"/>
      <c r="I254" s="11"/>
      <c r="J254" s="11"/>
      <c r="K254" s="11"/>
      <c r="L254" s="45" t="str">
        <f t="shared" si="1"/>
        <v/>
      </c>
      <c r="M254" s="46" t="str">
        <f>IFERROR(__xludf.DUMMYFUNCTION("IF(Account!$F254&lt;&gt;"""", VALUE(REGEXREPLACE($I254, ""\,"", ""."")), """")"),"")</f>
        <v/>
      </c>
      <c r="N254" s="47" t="str">
        <f>IF(Account!$F254&lt;&gt;"", DATEVALUE(MID($A254,4,3) &amp; LEFT($A254,3) &amp; RIGHT($A254,4)) + TIMEVALUE($B254), "")</f>
        <v/>
      </c>
      <c r="O254" s="48" t="str">
        <f>IF(Account!$F254&lt;&gt;"", DATEVALUE(MID($A254,4,3) &amp; LEFT($A254,3) &amp; RIGHT($A254,4)), "")</f>
        <v/>
      </c>
      <c r="P254" s="49" t="str">
        <f>IFERROR(VLOOKUP($Q254,Selection!$F:$G,2,false))</f>
        <v/>
      </c>
      <c r="Q254" s="50" t="str">
        <f>IF(AND($X254="change",$H254="EUR"),IF(AND($Z254="Crédit",$N254=$N255),$Q255,IF(AND($Z254="Débit",$N254=$N253),$Q253)),IF(OR(AND(OR($E254&lt;&gt;"",$L254=""),$M254&lt;&gt;0),$A254=""),IFERROR(VLOOKUP($E254,Selection!$E:$F,2,false)),IFERROR(VLOOKUP(SUBSTITUTE($I254,"-","",1),$K255:$Q1119,7,false),VLOOKUP($K254,$K255:$Q1119,7,false))))</f>
        <v/>
      </c>
      <c r="R254" s="49" t="str">
        <f t="shared" si="2"/>
        <v/>
      </c>
      <c r="S254" s="51" t="str">
        <f t="shared" si="3"/>
        <v/>
      </c>
      <c r="T254" s="52" t="str">
        <f t="shared" si="4"/>
        <v/>
      </c>
      <c r="U254" s="46" t="str">
        <f t="shared" si="5"/>
        <v/>
      </c>
      <c r="V254" s="53" t="str">
        <f>IFERROR(__xludf.DUMMYFUNCTION(" IF(Account!$F254&lt;&gt;"""", SPLIT(Account!$F254, "" ""), """")"),"")</f>
        <v/>
      </c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</row>
    <row r="255">
      <c r="A255" s="11"/>
      <c r="B255" s="11"/>
      <c r="C255" s="11"/>
      <c r="D255" s="11"/>
      <c r="E255" s="11"/>
      <c r="F255" s="12"/>
      <c r="G255" s="11"/>
      <c r="H255" s="11"/>
      <c r="I255" s="11"/>
      <c r="J255" s="11"/>
      <c r="K255" s="11"/>
      <c r="L255" s="45" t="str">
        <f t="shared" si="1"/>
        <v/>
      </c>
      <c r="M255" s="46" t="str">
        <f>IFERROR(__xludf.DUMMYFUNCTION("IF(Account!$F255&lt;&gt;"""", VALUE(REGEXREPLACE($I255, ""\,"", ""."")), """")"),"")</f>
        <v/>
      </c>
      <c r="N255" s="47" t="str">
        <f>IF(Account!$F255&lt;&gt;"", DATEVALUE(MID($A255,4,3) &amp; LEFT($A255,3) &amp; RIGHT($A255,4)) + TIMEVALUE($B255), "")</f>
        <v/>
      </c>
      <c r="O255" s="48" t="str">
        <f>IF(Account!$F255&lt;&gt;"", DATEVALUE(MID($A255,4,3) &amp; LEFT($A255,3) &amp; RIGHT($A255,4)), "")</f>
        <v/>
      </c>
      <c r="P255" s="49" t="str">
        <f>IFERROR(VLOOKUP($Q255,Selection!$F:$G,2,false))</f>
        <v/>
      </c>
      <c r="Q255" s="50" t="str">
        <f>IF(AND($X255="change",$H255="EUR"),IF(AND($Z255="Crédit",$N255=$N256),$Q256,IF(AND($Z255="Débit",$N255=$N254),$Q254)),IF(OR(AND(OR($E255&lt;&gt;"",$L255=""),$M255&lt;&gt;0),$A255=""),IFERROR(VLOOKUP($E255,Selection!$E:$F,2,false)),IFERROR(VLOOKUP(SUBSTITUTE($I255,"-","",1),$K256:$Q1119,7,false),VLOOKUP($K255,$K256:$Q1119,7,false))))</f>
        <v/>
      </c>
      <c r="R255" s="49" t="str">
        <f t="shared" si="2"/>
        <v/>
      </c>
      <c r="S255" s="51" t="str">
        <f t="shared" si="3"/>
        <v/>
      </c>
      <c r="T255" s="52" t="str">
        <f t="shared" si="4"/>
        <v/>
      </c>
      <c r="U255" s="46" t="str">
        <f t="shared" si="5"/>
        <v/>
      </c>
      <c r="V255" s="53" t="str">
        <f>IFERROR(__xludf.DUMMYFUNCTION(" IF(Account!$F255&lt;&gt;"""", SPLIT(Account!$F255, "" ""), """")"),"")</f>
        <v/>
      </c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</row>
    <row r="256">
      <c r="A256" s="11"/>
      <c r="B256" s="11"/>
      <c r="C256" s="11"/>
      <c r="D256" s="11"/>
      <c r="E256" s="11"/>
      <c r="F256" s="12"/>
      <c r="G256" s="215"/>
      <c r="H256" s="11"/>
      <c r="I256" s="11"/>
      <c r="J256" s="11"/>
      <c r="K256" s="11"/>
      <c r="L256" s="45" t="str">
        <f t="shared" si="1"/>
        <v/>
      </c>
      <c r="M256" s="46" t="str">
        <f>IFERROR(__xludf.DUMMYFUNCTION("IF(Account!$F256&lt;&gt;"""", VALUE(REGEXREPLACE($I256, ""\,"", ""."")), """")"),"")</f>
        <v/>
      </c>
      <c r="N256" s="47" t="str">
        <f>IF(Account!$F256&lt;&gt;"", DATEVALUE(MID($A256,4,3) &amp; LEFT($A256,3) &amp; RIGHT($A256,4)) + TIMEVALUE($B256), "")</f>
        <v/>
      </c>
      <c r="O256" s="48" t="str">
        <f>IF(Account!$F256&lt;&gt;"", DATEVALUE(MID($A256,4,3) &amp; LEFT($A256,3) &amp; RIGHT($A256,4)), "")</f>
        <v/>
      </c>
      <c r="P256" s="49" t="str">
        <f>IFERROR(VLOOKUP($Q256,Selection!$F:$G,2,false))</f>
        <v/>
      </c>
      <c r="Q256" s="50" t="str">
        <f>IF(AND($X256="change",$H256="EUR"),IF(AND($Z256="Crédit",$N256=$N257),$Q257,IF(AND($Z256="Débit",$N256=$N255),$Q255)),IF(OR(AND(OR($E256&lt;&gt;"",$L256=""),$M256&lt;&gt;0),$A256=""),IFERROR(VLOOKUP($E256,Selection!$E:$F,2,false)),IFERROR(VLOOKUP(SUBSTITUTE($I256,"-","",1),$K257:$Q1119,7,false),VLOOKUP($K256,$K257:$Q1119,7,false))))</f>
        <v/>
      </c>
      <c r="R256" s="49" t="str">
        <f t="shared" si="2"/>
        <v/>
      </c>
      <c r="S256" s="51" t="str">
        <f t="shared" si="3"/>
        <v/>
      </c>
      <c r="T256" s="52" t="str">
        <f t="shared" si="4"/>
        <v/>
      </c>
      <c r="U256" s="46" t="str">
        <f t="shared" si="5"/>
        <v/>
      </c>
      <c r="V256" s="53" t="str">
        <f>IFERROR(__xludf.DUMMYFUNCTION(" IF(Account!$F256&lt;&gt;"""", SPLIT(Account!$F256, "" ""), """")"),"")</f>
        <v/>
      </c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</row>
    <row r="257">
      <c r="A257" s="11"/>
      <c r="B257" s="11"/>
      <c r="C257" s="11"/>
      <c r="D257" s="11"/>
      <c r="E257" s="11"/>
      <c r="F257" s="12"/>
      <c r="G257" s="11"/>
      <c r="H257" s="11"/>
      <c r="I257" s="11"/>
      <c r="J257" s="11"/>
      <c r="K257" s="11"/>
      <c r="L257" s="45" t="str">
        <f t="shared" si="1"/>
        <v/>
      </c>
      <c r="M257" s="46" t="str">
        <f>IFERROR(__xludf.DUMMYFUNCTION("IF(Account!$F257&lt;&gt;"""", VALUE(REGEXREPLACE($I257, ""\,"", ""."")), """")"),"")</f>
        <v/>
      </c>
      <c r="N257" s="47" t="str">
        <f>IF(Account!$F257&lt;&gt;"", DATEVALUE(MID($A257,4,3) &amp; LEFT($A257,3) &amp; RIGHT($A257,4)) + TIMEVALUE($B257), "")</f>
        <v/>
      </c>
      <c r="O257" s="48" t="str">
        <f>IF(Account!$F257&lt;&gt;"", DATEVALUE(MID($A257,4,3) &amp; LEFT($A257,3) &amp; RIGHT($A257,4)), "")</f>
        <v/>
      </c>
      <c r="P257" s="49" t="str">
        <f>IFERROR(VLOOKUP($Q257,Selection!$F:$G,2,false))</f>
        <v/>
      </c>
      <c r="Q257" s="50" t="str">
        <f>IF(AND($X257="change",$H257="EUR"),IF(AND($Z257="Crédit",$N257=$N258),$Q258,IF(AND($Z257="Débit",$N257=$N256),$Q256)),IF(OR(AND(OR($E257&lt;&gt;"",$L257=""),$M257&lt;&gt;0),$A257=""),IFERROR(VLOOKUP($E257,Selection!$E:$F,2,false)),IFERROR(VLOOKUP(SUBSTITUTE($I257,"-","",1),$K258:$Q1119,7,false),VLOOKUP($K257,$K258:$Q1119,7,false))))</f>
        <v/>
      </c>
      <c r="R257" s="49" t="str">
        <f t="shared" si="2"/>
        <v/>
      </c>
      <c r="S257" s="51" t="str">
        <f t="shared" si="3"/>
        <v/>
      </c>
      <c r="T257" s="52" t="str">
        <f t="shared" si="4"/>
        <v/>
      </c>
      <c r="U257" s="46" t="str">
        <f t="shared" si="5"/>
        <v/>
      </c>
      <c r="V257" s="53" t="str">
        <f>IFERROR(__xludf.DUMMYFUNCTION(" IF(Account!$F257&lt;&gt;"""", SPLIT(Account!$F257, "" ""), """")"),"")</f>
        <v/>
      </c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</row>
    <row r="258">
      <c r="A258" s="11"/>
      <c r="B258" s="11"/>
      <c r="C258" s="11"/>
      <c r="D258" s="11"/>
      <c r="E258" s="11"/>
      <c r="F258" s="12"/>
      <c r="G258" s="215"/>
      <c r="H258" s="11"/>
      <c r="I258" s="11"/>
      <c r="J258" s="11"/>
      <c r="K258" s="11"/>
      <c r="L258" s="45" t="str">
        <f t="shared" si="1"/>
        <v/>
      </c>
      <c r="M258" s="46" t="str">
        <f>IFERROR(__xludf.DUMMYFUNCTION("IF(Account!$F258&lt;&gt;"""", VALUE(REGEXREPLACE($I258, ""\,"", ""."")), """")"),"")</f>
        <v/>
      </c>
      <c r="N258" s="47" t="str">
        <f>IF(Account!$F258&lt;&gt;"", DATEVALUE(MID($A258,4,3) &amp; LEFT($A258,3) &amp; RIGHT($A258,4)) + TIMEVALUE($B258), "")</f>
        <v/>
      </c>
      <c r="O258" s="48" t="str">
        <f>IF(Account!$F258&lt;&gt;"", DATEVALUE(MID($A258,4,3) &amp; LEFT($A258,3) &amp; RIGHT($A258,4)), "")</f>
        <v/>
      </c>
      <c r="P258" s="49" t="str">
        <f>IFERROR(VLOOKUP($Q258,Selection!$F:$G,2,false))</f>
        <v/>
      </c>
      <c r="Q258" s="50" t="str">
        <f>IF(AND($X258="change",$H258="EUR"),IF(AND($Z258="Crédit",$N258=$N259),$Q259,IF(AND($Z258="Débit",$N258=$N257),$Q257)),IF(OR(AND(OR($E258&lt;&gt;"",$L258=""),$M258&lt;&gt;0),$A258=""),IFERROR(VLOOKUP($E258,Selection!$E:$F,2,false)),IFERROR(VLOOKUP(SUBSTITUTE($I258,"-","",1),$K259:$Q1119,7,false),VLOOKUP($K258,$K259:$Q1119,7,false))))</f>
        <v/>
      </c>
      <c r="R258" s="49" t="str">
        <f t="shared" si="2"/>
        <v/>
      </c>
      <c r="S258" s="51" t="str">
        <f t="shared" si="3"/>
        <v/>
      </c>
      <c r="T258" s="52" t="str">
        <f t="shared" si="4"/>
        <v/>
      </c>
      <c r="U258" s="46" t="str">
        <f t="shared" si="5"/>
        <v/>
      </c>
      <c r="V258" s="53" t="str">
        <f>IFERROR(__xludf.DUMMYFUNCTION(" IF(Account!$F258&lt;&gt;"""", SPLIT(Account!$F258, "" ""), """")"),"")</f>
        <v/>
      </c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</row>
    <row r="259">
      <c r="A259" s="11"/>
      <c r="B259" s="11"/>
      <c r="C259" s="11"/>
      <c r="D259" s="11"/>
      <c r="E259" s="11"/>
      <c r="F259" s="12"/>
      <c r="G259" s="215"/>
      <c r="H259" s="11"/>
      <c r="I259" s="11"/>
      <c r="J259" s="11"/>
      <c r="K259" s="11"/>
      <c r="L259" s="45" t="str">
        <f t="shared" si="1"/>
        <v/>
      </c>
      <c r="M259" s="46" t="str">
        <f>IFERROR(__xludf.DUMMYFUNCTION("IF(Account!$F259&lt;&gt;"""", VALUE(REGEXREPLACE($I259, ""\,"", ""."")), """")"),"")</f>
        <v/>
      </c>
      <c r="N259" s="47" t="str">
        <f>IF(Account!$F259&lt;&gt;"", DATEVALUE(MID($A259,4,3) &amp; LEFT($A259,3) &amp; RIGHT($A259,4)) + TIMEVALUE($B259), "")</f>
        <v/>
      </c>
      <c r="O259" s="48" t="str">
        <f>IF(Account!$F259&lt;&gt;"", DATEVALUE(MID($A259,4,3) &amp; LEFT($A259,3) &amp; RIGHT($A259,4)), "")</f>
        <v/>
      </c>
      <c r="P259" s="49" t="str">
        <f>IFERROR(VLOOKUP($Q259,Selection!$F:$G,2,false))</f>
        <v/>
      </c>
      <c r="Q259" s="50" t="str">
        <f>IF(AND($X259="change",$H259="EUR"),IF(AND($Z259="Crédit",$N259=$N260),$Q260,IF(AND($Z259="Débit",$N259=$N258),$Q258)),IF(OR(AND(OR($E259&lt;&gt;"",$L259=""),$M259&lt;&gt;0),$A259=""),IFERROR(VLOOKUP($E259,Selection!$E:$F,2,false)),IFERROR(VLOOKUP(SUBSTITUTE($I259,"-","",1),$K260:$Q1119,7,false),VLOOKUP($K259,$K260:$Q1119,7,false))))</f>
        <v/>
      </c>
      <c r="R259" s="49" t="str">
        <f t="shared" si="2"/>
        <v/>
      </c>
      <c r="S259" s="51" t="str">
        <f t="shared" si="3"/>
        <v/>
      </c>
      <c r="T259" s="52" t="str">
        <f t="shared" si="4"/>
        <v/>
      </c>
      <c r="U259" s="46" t="str">
        <f t="shared" si="5"/>
        <v/>
      </c>
      <c r="V259" s="53" t="str">
        <f>IFERROR(__xludf.DUMMYFUNCTION(" IF(Account!$F259&lt;&gt;"""", SPLIT(Account!$F259, "" ""), """")"),"")</f>
        <v/>
      </c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</row>
    <row r="260">
      <c r="A260" s="11"/>
      <c r="B260" s="11"/>
      <c r="C260" s="11"/>
      <c r="D260" s="11"/>
      <c r="E260" s="11"/>
      <c r="F260" s="12"/>
      <c r="G260" s="11"/>
      <c r="H260" s="11"/>
      <c r="I260" s="11"/>
      <c r="J260" s="11"/>
      <c r="K260" s="11"/>
      <c r="L260" s="45" t="str">
        <f t="shared" si="1"/>
        <v/>
      </c>
      <c r="M260" s="46" t="str">
        <f>IFERROR(__xludf.DUMMYFUNCTION("IF(Account!$F260&lt;&gt;"""", VALUE(REGEXREPLACE($I260, ""\,"", ""."")), """")"),"")</f>
        <v/>
      </c>
      <c r="N260" s="47" t="str">
        <f>IF(Account!$F260&lt;&gt;"", DATEVALUE(MID($A260,4,3) &amp; LEFT($A260,3) &amp; RIGHT($A260,4)) + TIMEVALUE($B260), "")</f>
        <v/>
      </c>
      <c r="O260" s="48" t="str">
        <f>IF(Account!$F260&lt;&gt;"", DATEVALUE(MID($A260,4,3) &amp; LEFT($A260,3) &amp; RIGHT($A260,4)), "")</f>
        <v/>
      </c>
      <c r="P260" s="49" t="str">
        <f>IFERROR(VLOOKUP($Q260,Selection!$F:$G,2,false))</f>
        <v/>
      </c>
      <c r="Q260" s="50" t="str">
        <f>IF(AND($X260="change",$H260="EUR"),IF(AND($Z260="Crédit",$N260=$N261),$Q261,IF(AND($Z260="Débit",$N260=$N259),$Q259)),IF(OR(AND(OR($E260&lt;&gt;"",$L260=""),$M260&lt;&gt;0),$A260=""),IFERROR(VLOOKUP($E260,Selection!$E:$F,2,false)),IFERROR(VLOOKUP(SUBSTITUTE($I260,"-","",1),$K261:$Q1119,7,false),VLOOKUP($K260,$K261:$Q1119,7,false))))</f>
        <v/>
      </c>
      <c r="R260" s="49" t="str">
        <f t="shared" si="2"/>
        <v/>
      </c>
      <c r="S260" s="51" t="str">
        <f t="shared" si="3"/>
        <v/>
      </c>
      <c r="T260" s="52" t="str">
        <f t="shared" si="4"/>
        <v/>
      </c>
      <c r="U260" s="46" t="str">
        <f t="shared" si="5"/>
        <v/>
      </c>
      <c r="V260" s="53" t="str">
        <f>IFERROR(__xludf.DUMMYFUNCTION(" IF(Account!$F260&lt;&gt;"""", SPLIT(Account!$F260, "" ""), """")"),"")</f>
        <v/>
      </c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</row>
    <row r="261">
      <c r="A261" s="11"/>
      <c r="B261" s="11"/>
      <c r="C261" s="11"/>
      <c r="D261" s="11"/>
      <c r="E261" s="11"/>
      <c r="F261" s="12"/>
      <c r="G261" s="215"/>
      <c r="H261" s="11"/>
      <c r="I261" s="11"/>
      <c r="J261" s="11"/>
      <c r="K261" s="11"/>
      <c r="L261" s="45" t="str">
        <f t="shared" si="1"/>
        <v/>
      </c>
      <c r="M261" s="46" t="str">
        <f>IFERROR(__xludf.DUMMYFUNCTION("IF(Account!$F261&lt;&gt;"""", VALUE(REGEXREPLACE($I261, ""\,"", ""."")), """")"),"")</f>
        <v/>
      </c>
      <c r="N261" s="47" t="str">
        <f>IF(Account!$F261&lt;&gt;"", DATEVALUE(MID($A261,4,3) &amp; LEFT($A261,3) &amp; RIGHT($A261,4)) + TIMEVALUE($B261), "")</f>
        <v/>
      </c>
      <c r="O261" s="48" t="str">
        <f>IF(Account!$F261&lt;&gt;"", DATEVALUE(MID($A261,4,3) &amp; LEFT($A261,3) &amp; RIGHT($A261,4)), "")</f>
        <v/>
      </c>
      <c r="P261" s="49" t="str">
        <f>IFERROR(VLOOKUP($Q261,Selection!$F:$G,2,false))</f>
        <v/>
      </c>
      <c r="Q261" s="50" t="str">
        <f>IF(AND($X261="change",$H261="EUR"),IF(AND($Z261="Crédit",$N261=$N262),$Q262,IF(AND($Z261="Débit",$N261=$N260),$Q260)),IF(OR(AND(OR($E261&lt;&gt;"",$L261=""),$M261&lt;&gt;0),$A261=""),IFERROR(VLOOKUP($E261,Selection!$E:$F,2,false)),IFERROR(VLOOKUP(SUBSTITUTE($I261,"-","",1),$K262:$Q1119,7,false),VLOOKUP($K261,$K262:$Q1119,7,false))))</f>
        <v/>
      </c>
      <c r="R261" s="49" t="str">
        <f t="shared" si="2"/>
        <v/>
      </c>
      <c r="S261" s="51" t="str">
        <f t="shared" si="3"/>
        <v/>
      </c>
      <c r="T261" s="52" t="str">
        <f t="shared" si="4"/>
        <v/>
      </c>
      <c r="U261" s="46" t="str">
        <f t="shared" si="5"/>
        <v/>
      </c>
      <c r="V261" s="53" t="str">
        <f>IFERROR(__xludf.DUMMYFUNCTION(" IF(Account!$F261&lt;&gt;"""", SPLIT(Account!$F261, "" ""), """")"),"")</f>
        <v/>
      </c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</row>
    <row r="262">
      <c r="A262" s="11"/>
      <c r="B262" s="11"/>
      <c r="C262" s="11"/>
      <c r="D262" s="11"/>
      <c r="E262" s="11"/>
      <c r="F262" s="12"/>
      <c r="G262" s="215"/>
      <c r="H262" s="11"/>
      <c r="I262" s="11"/>
      <c r="J262" s="11"/>
      <c r="K262" s="11"/>
      <c r="L262" s="45" t="str">
        <f t="shared" si="1"/>
        <v/>
      </c>
      <c r="M262" s="46" t="str">
        <f>IFERROR(__xludf.DUMMYFUNCTION("IF(Account!$F262&lt;&gt;"""", VALUE(REGEXREPLACE($I262, ""\,"", ""."")), """")"),"")</f>
        <v/>
      </c>
      <c r="N262" s="47" t="str">
        <f>IF(Account!$F262&lt;&gt;"", DATEVALUE(MID($A262,4,3) &amp; LEFT($A262,3) &amp; RIGHT($A262,4)) + TIMEVALUE($B262), "")</f>
        <v/>
      </c>
      <c r="O262" s="48" t="str">
        <f>IF(Account!$F262&lt;&gt;"", DATEVALUE(MID($A262,4,3) &amp; LEFT($A262,3) &amp; RIGHT($A262,4)), "")</f>
        <v/>
      </c>
      <c r="P262" s="49" t="str">
        <f>IFERROR(VLOOKUP($Q262,Selection!$F:$G,2,false))</f>
        <v/>
      </c>
      <c r="Q262" s="50" t="str">
        <f>IF(AND($X262="change",$H262="EUR"),IF(AND($Z262="Crédit",$N262=$N263),$Q263,IF(AND($Z262="Débit",$N262=$N261),$Q261)),IF(OR(AND(OR($E262&lt;&gt;"",$L262=""),$M262&lt;&gt;0),$A262=""),IFERROR(VLOOKUP($E262,Selection!$E:$F,2,false)),IFERROR(VLOOKUP(SUBSTITUTE($I262,"-","",1),$K263:$Q1119,7,false),VLOOKUP($K262,$K263:$Q1119,7,false))))</f>
        <v/>
      </c>
      <c r="R262" s="49" t="str">
        <f t="shared" si="2"/>
        <v/>
      </c>
      <c r="S262" s="51" t="str">
        <f t="shared" si="3"/>
        <v/>
      </c>
      <c r="T262" s="52" t="str">
        <f t="shared" si="4"/>
        <v/>
      </c>
      <c r="U262" s="46" t="str">
        <f t="shared" si="5"/>
        <v/>
      </c>
      <c r="V262" s="53" t="str">
        <f>IFERROR(__xludf.DUMMYFUNCTION(" IF(Account!$F262&lt;&gt;"""", SPLIT(Account!$F262, "" ""), """")"),"")</f>
        <v/>
      </c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</row>
    <row r="263">
      <c r="A263" s="11"/>
      <c r="B263" s="11"/>
      <c r="C263" s="11"/>
      <c r="D263" s="11"/>
      <c r="E263" s="11"/>
      <c r="F263" s="12"/>
      <c r="G263" s="215"/>
      <c r="H263" s="11"/>
      <c r="I263" s="11"/>
      <c r="J263" s="11"/>
      <c r="K263" s="11"/>
      <c r="L263" s="45" t="str">
        <f t="shared" si="1"/>
        <v/>
      </c>
      <c r="M263" s="46" t="str">
        <f>IFERROR(__xludf.DUMMYFUNCTION("IF(Account!$F263&lt;&gt;"""", VALUE(REGEXREPLACE($I263, ""\,"", ""."")), """")"),"")</f>
        <v/>
      </c>
      <c r="N263" s="47" t="str">
        <f>IF(Account!$F263&lt;&gt;"", DATEVALUE(MID($A263,4,3) &amp; LEFT($A263,3) &amp; RIGHT($A263,4)) + TIMEVALUE($B263), "")</f>
        <v/>
      </c>
      <c r="O263" s="48" t="str">
        <f>IF(Account!$F263&lt;&gt;"", DATEVALUE(MID($A263,4,3) &amp; LEFT($A263,3) &amp; RIGHT($A263,4)), "")</f>
        <v/>
      </c>
      <c r="P263" s="49" t="str">
        <f>IFERROR(VLOOKUP($Q263,Selection!$F:$G,2,false))</f>
        <v/>
      </c>
      <c r="Q263" s="50" t="str">
        <f>IF(AND($X263="change",$H263="EUR"),IF(AND($Z263="Crédit",$N263=$N264),$Q264,IF(AND($Z263="Débit",$N263=$N262),$Q262)),IF(OR(AND(OR($E263&lt;&gt;"",$L263=""),$M263&lt;&gt;0),$A263=""),IFERROR(VLOOKUP($E263,Selection!$E:$F,2,false)),IFERROR(VLOOKUP(SUBSTITUTE($I263,"-","",1),$K264:$Q1119,7,false),VLOOKUP($K263,$K264:$Q1119,7,false))))</f>
        <v/>
      </c>
      <c r="R263" s="49" t="str">
        <f t="shared" si="2"/>
        <v/>
      </c>
      <c r="S263" s="51" t="str">
        <f t="shared" si="3"/>
        <v/>
      </c>
      <c r="T263" s="52" t="str">
        <f t="shared" si="4"/>
        <v/>
      </c>
      <c r="U263" s="46" t="str">
        <f t="shared" si="5"/>
        <v/>
      </c>
      <c r="V263" s="53" t="str">
        <f>IFERROR(__xludf.DUMMYFUNCTION(" IF(Account!$F263&lt;&gt;"""", SPLIT(Account!$F263, "" ""), """")"),"")</f>
        <v/>
      </c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</row>
    <row r="264">
      <c r="A264" s="11"/>
      <c r="B264" s="11"/>
      <c r="C264" s="11"/>
      <c r="D264" s="11"/>
      <c r="E264" s="11"/>
      <c r="F264" s="12"/>
      <c r="G264" s="11"/>
      <c r="H264" s="11"/>
      <c r="I264" s="11"/>
      <c r="J264" s="11"/>
      <c r="K264" s="11"/>
      <c r="L264" s="45" t="str">
        <f t="shared" si="1"/>
        <v/>
      </c>
      <c r="M264" s="46" t="str">
        <f>IFERROR(__xludf.DUMMYFUNCTION("IF(Account!$F264&lt;&gt;"""", VALUE(REGEXREPLACE($I264, ""\,"", ""."")), """")"),"")</f>
        <v/>
      </c>
      <c r="N264" s="47" t="str">
        <f>IF(Account!$F264&lt;&gt;"", DATEVALUE(MID($A264,4,3) &amp; LEFT($A264,3) &amp; RIGHT($A264,4)) + TIMEVALUE($B264), "")</f>
        <v/>
      </c>
      <c r="O264" s="48" t="str">
        <f>IF(Account!$F264&lt;&gt;"", DATEVALUE(MID($A264,4,3) &amp; LEFT($A264,3) &amp; RIGHT($A264,4)), "")</f>
        <v/>
      </c>
      <c r="P264" s="49" t="str">
        <f>IFERROR(VLOOKUP($Q264,Selection!$F:$G,2,false))</f>
        <v/>
      </c>
      <c r="Q264" s="50" t="str">
        <f>IF(AND($X264="change",$H264="EUR"),IF(AND($Z264="Crédit",$N264=$N265),$Q265,IF(AND($Z264="Débit",$N264=$N263),$Q263)),IF(OR(AND(OR($E264&lt;&gt;"",$L264=""),$M264&lt;&gt;0),$A264=""),IFERROR(VLOOKUP($E264,Selection!$E:$F,2,false)),IFERROR(VLOOKUP(SUBSTITUTE($I264,"-","",1),$K265:$Q1119,7,false),VLOOKUP($K264,$K265:$Q1119,7,false))))</f>
        <v/>
      </c>
      <c r="R264" s="49" t="str">
        <f t="shared" si="2"/>
        <v/>
      </c>
      <c r="S264" s="51" t="str">
        <f t="shared" si="3"/>
        <v/>
      </c>
      <c r="T264" s="52" t="str">
        <f t="shared" si="4"/>
        <v/>
      </c>
      <c r="U264" s="46" t="str">
        <f t="shared" si="5"/>
        <v/>
      </c>
      <c r="V264" s="53" t="str">
        <f>IFERROR(__xludf.DUMMYFUNCTION(" IF(Account!$F264&lt;&gt;"""", SPLIT(Account!$F264, "" ""), """")"),"")</f>
        <v/>
      </c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</row>
    <row r="265">
      <c r="A265" s="11"/>
      <c r="B265" s="11"/>
      <c r="C265" s="11"/>
      <c r="D265" s="11"/>
      <c r="E265" s="11"/>
      <c r="F265" s="12"/>
      <c r="G265" s="215"/>
      <c r="H265" s="11"/>
      <c r="I265" s="11"/>
      <c r="J265" s="11"/>
      <c r="K265" s="11"/>
      <c r="L265" s="45" t="str">
        <f t="shared" si="1"/>
        <v/>
      </c>
      <c r="M265" s="46" t="str">
        <f>IFERROR(__xludf.DUMMYFUNCTION("IF(Account!$F265&lt;&gt;"""", VALUE(REGEXREPLACE($I265, ""\,"", ""."")), """")"),"")</f>
        <v/>
      </c>
      <c r="N265" s="47" t="str">
        <f>IF(Account!$F265&lt;&gt;"", DATEVALUE(MID($A265,4,3) &amp; LEFT($A265,3) &amp; RIGHT($A265,4)) + TIMEVALUE($B265), "")</f>
        <v/>
      </c>
      <c r="O265" s="48" t="str">
        <f>IF(Account!$F265&lt;&gt;"", DATEVALUE(MID($A265,4,3) &amp; LEFT($A265,3) &amp; RIGHT($A265,4)), "")</f>
        <v/>
      </c>
      <c r="P265" s="49" t="str">
        <f>IFERROR(VLOOKUP($Q265,Selection!$F:$G,2,false))</f>
        <v/>
      </c>
      <c r="Q265" s="50" t="str">
        <f>IF(AND($X265="change",$H265="EUR"),IF(AND($Z265="Crédit",$N265=$N266),$Q266,IF(AND($Z265="Débit",$N265=$N264),$Q264)),IF(OR(AND(OR($E265&lt;&gt;"",$L265=""),$M265&lt;&gt;0),$A265=""),IFERROR(VLOOKUP($E265,Selection!$E:$F,2,false)),IFERROR(VLOOKUP(SUBSTITUTE($I265,"-","",1),$K266:$Q1119,7,false),VLOOKUP($K265,$K266:$Q1119,7,false))))</f>
        <v/>
      </c>
      <c r="R265" s="49" t="str">
        <f t="shared" si="2"/>
        <v/>
      </c>
      <c r="S265" s="51" t="str">
        <f t="shared" si="3"/>
        <v/>
      </c>
      <c r="T265" s="52" t="str">
        <f t="shared" si="4"/>
        <v/>
      </c>
      <c r="U265" s="46" t="str">
        <f t="shared" si="5"/>
        <v/>
      </c>
      <c r="V265" s="53" t="str">
        <f>IFERROR(__xludf.DUMMYFUNCTION(" IF(Account!$F265&lt;&gt;"""", SPLIT(Account!$F265, "" ""), """")"),"")</f>
        <v/>
      </c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</row>
    <row r="266">
      <c r="A266" s="11"/>
      <c r="B266" s="11"/>
      <c r="C266" s="11"/>
      <c r="D266" s="11"/>
      <c r="E266" s="11"/>
      <c r="F266" s="12"/>
      <c r="G266" s="215"/>
      <c r="H266" s="11"/>
      <c r="I266" s="11"/>
      <c r="J266" s="11"/>
      <c r="K266" s="11"/>
      <c r="L266" s="45" t="str">
        <f t="shared" si="1"/>
        <v/>
      </c>
      <c r="M266" s="46" t="str">
        <f>IFERROR(__xludf.DUMMYFUNCTION("IF(Account!$F266&lt;&gt;"""", VALUE(REGEXREPLACE($I266, ""\,"", ""."")), """")"),"")</f>
        <v/>
      </c>
      <c r="N266" s="47" t="str">
        <f>IF(Account!$F266&lt;&gt;"", DATEVALUE(MID($A266,4,3) &amp; LEFT($A266,3) &amp; RIGHT($A266,4)) + TIMEVALUE($B266), "")</f>
        <v/>
      </c>
      <c r="O266" s="48" t="str">
        <f>IF(Account!$F266&lt;&gt;"", DATEVALUE(MID($A266,4,3) &amp; LEFT($A266,3) &amp; RIGHT($A266,4)), "")</f>
        <v/>
      </c>
      <c r="P266" s="49" t="str">
        <f>IFERROR(VLOOKUP($Q266,Selection!$F:$G,2,false))</f>
        <v/>
      </c>
      <c r="Q266" s="50" t="str">
        <f>IF(AND($X266="change",$H266="EUR"),IF(AND($Z266="Crédit",$N266=$N267),$Q267,IF(AND($Z266="Débit",$N266=$N265),$Q265)),IF(OR(AND(OR($E266&lt;&gt;"",$L266=""),$M266&lt;&gt;0),$A266=""),IFERROR(VLOOKUP($E266,Selection!$E:$F,2,false)),IFERROR(VLOOKUP(SUBSTITUTE($I266,"-","",1),$K267:$Q1119,7,false),VLOOKUP($K266,$K267:$Q1119,7,false))))</f>
        <v/>
      </c>
      <c r="R266" s="49" t="str">
        <f t="shared" si="2"/>
        <v/>
      </c>
      <c r="S266" s="51" t="str">
        <f t="shared" si="3"/>
        <v/>
      </c>
      <c r="T266" s="52" t="str">
        <f t="shared" si="4"/>
        <v/>
      </c>
      <c r="U266" s="46" t="str">
        <f t="shared" si="5"/>
        <v/>
      </c>
      <c r="V266" s="53" t="str">
        <f>IFERROR(__xludf.DUMMYFUNCTION(" IF(Account!$F266&lt;&gt;"""", SPLIT(Account!$F266, "" ""), """")"),"")</f>
        <v/>
      </c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</row>
    <row r="267">
      <c r="A267" s="11"/>
      <c r="B267" s="11"/>
      <c r="C267" s="11"/>
      <c r="D267" s="11"/>
      <c r="E267" s="11"/>
      <c r="F267" s="12"/>
      <c r="G267" s="215"/>
      <c r="H267" s="11"/>
      <c r="I267" s="11"/>
      <c r="J267" s="11"/>
      <c r="K267" s="11"/>
      <c r="L267" s="45" t="str">
        <f t="shared" si="1"/>
        <v/>
      </c>
      <c r="M267" s="46" t="str">
        <f>IFERROR(__xludf.DUMMYFUNCTION("IF(Account!$F267&lt;&gt;"""", VALUE(REGEXREPLACE($I267, ""\,"", ""."")), """")"),"")</f>
        <v/>
      </c>
      <c r="N267" s="47" t="str">
        <f>IF(Account!$F267&lt;&gt;"", DATEVALUE(MID($A267,4,3) &amp; LEFT($A267,3) &amp; RIGHT($A267,4)) + TIMEVALUE($B267), "")</f>
        <v/>
      </c>
      <c r="O267" s="48" t="str">
        <f>IF(Account!$F267&lt;&gt;"", DATEVALUE(MID($A267,4,3) &amp; LEFT($A267,3) &amp; RIGHT($A267,4)), "")</f>
        <v/>
      </c>
      <c r="P267" s="49" t="str">
        <f>IFERROR(VLOOKUP($Q267,Selection!$F:$G,2,false))</f>
        <v/>
      </c>
      <c r="Q267" s="50" t="str">
        <f>IF(AND($X267="change",$H267="EUR"),IF(AND($Z267="Crédit",$N267=$N268),$Q268,IF(AND($Z267="Débit",$N267=$N266),$Q266)),IF(OR(AND(OR($E267&lt;&gt;"",$L267=""),$M267&lt;&gt;0),$A267=""),IFERROR(VLOOKUP($E267,Selection!$E:$F,2,false)),IFERROR(VLOOKUP(SUBSTITUTE($I267,"-","",1),$K268:$Q1119,7,false),VLOOKUP($K267,$K268:$Q1119,7,false))))</f>
        <v/>
      </c>
      <c r="R267" s="49" t="str">
        <f t="shared" si="2"/>
        <v/>
      </c>
      <c r="S267" s="51" t="str">
        <f t="shared" si="3"/>
        <v/>
      </c>
      <c r="T267" s="52" t="str">
        <f t="shared" si="4"/>
        <v/>
      </c>
      <c r="U267" s="46" t="str">
        <f t="shared" si="5"/>
        <v/>
      </c>
      <c r="V267" s="53" t="str">
        <f>IFERROR(__xludf.DUMMYFUNCTION(" IF(Account!$F267&lt;&gt;"""", SPLIT(Account!$F267, "" ""), """")"),"")</f>
        <v/>
      </c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</row>
    <row r="268">
      <c r="A268" s="11"/>
      <c r="B268" s="11"/>
      <c r="C268" s="11"/>
      <c r="D268" s="11"/>
      <c r="E268" s="11"/>
      <c r="F268" s="12"/>
      <c r="G268" s="11"/>
      <c r="H268" s="11"/>
      <c r="I268" s="11"/>
      <c r="J268" s="11"/>
      <c r="K268" s="11"/>
      <c r="L268" s="45" t="str">
        <f t="shared" si="1"/>
        <v/>
      </c>
      <c r="M268" s="46" t="str">
        <f>IFERROR(__xludf.DUMMYFUNCTION("IF(Account!$F268&lt;&gt;"""", VALUE(REGEXREPLACE($I268, ""\,"", ""."")), """")"),"")</f>
        <v/>
      </c>
      <c r="N268" s="47" t="str">
        <f>IF(Account!$F268&lt;&gt;"", DATEVALUE(MID($A268,4,3) &amp; LEFT($A268,3) &amp; RIGHT($A268,4)) + TIMEVALUE($B268), "")</f>
        <v/>
      </c>
      <c r="O268" s="48" t="str">
        <f>IF(Account!$F268&lt;&gt;"", DATEVALUE(MID($A268,4,3) &amp; LEFT($A268,3) &amp; RIGHT($A268,4)), "")</f>
        <v/>
      </c>
      <c r="P268" s="49" t="str">
        <f>IFERROR(VLOOKUP($Q268,Selection!$F:$G,2,false))</f>
        <v/>
      </c>
      <c r="Q268" s="50" t="str">
        <f>IF(AND($X268="change",$H268="EUR"),IF(AND($Z268="Crédit",$N268=$N269),$Q269,IF(AND($Z268="Débit",$N268=$N267),$Q267)),IF(OR(AND(OR($E268&lt;&gt;"",$L268=""),$M268&lt;&gt;0),$A268=""),IFERROR(VLOOKUP($E268,Selection!$E:$F,2,false)),IFERROR(VLOOKUP(SUBSTITUTE($I268,"-","",1),$K269:$Q1119,7,false),VLOOKUP($K268,$K269:$Q1119,7,false))))</f>
        <v/>
      </c>
      <c r="R268" s="49" t="str">
        <f t="shared" si="2"/>
        <v/>
      </c>
      <c r="S268" s="51" t="str">
        <f t="shared" si="3"/>
        <v/>
      </c>
      <c r="T268" s="52" t="str">
        <f t="shared" si="4"/>
        <v/>
      </c>
      <c r="U268" s="46" t="str">
        <f t="shared" si="5"/>
        <v/>
      </c>
      <c r="V268" s="53" t="str">
        <f>IFERROR(__xludf.DUMMYFUNCTION(" IF(Account!$F268&lt;&gt;"""", SPLIT(Account!$F268, "" ""), """")"),"")</f>
        <v/>
      </c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</row>
    <row r="269">
      <c r="A269" s="11"/>
      <c r="B269" s="11"/>
      <c r="C269" s="11"/>
      <c r="D269" s="11"/>
      <c r="E269" s="11"/>
      <c r="F269" s="12"/>
      <c r="G269" s="215"/>
      <c r="H269" s="11"/>
      <c r="I269" s="11"/>
      <c r="J269" s="11"/>
      <c r="K269" s="11"/>
      <c r="L269" s="45" t="str">
        <f t="shared" si="1"/>
        <v/>
      </c>
      <c r="M269" s="46" t="str">
        <f>IFERROR(__xludf.DUMMYFUNCTION("IF(Account!$F269&lt;&gt;"""", VALUE(REGEXREPLACE($I269, ""\,"", ""."")), """")"),"")</f>
        <v/>
      </c>
      <c r="N269" s="47" t="str">
        <f>IF(Account!$F269&lt;&gt;"", DATEVALUE(MID($A269,4,3) &amp; LEFT($A269,3) &amp; RIGHT($A269,4)) + TIMEVALUE($B269), "")</f>
        <v/>
      </c>
      <c r="O269" s="48" t="str">
        <f>IF(Account!$F269&lt;&gt;"", DATEVALUE(MID($A269,4,3) &amp; LEFT($A269,3) &amp; RIGHT($A269,4)), "")</f>
        <v/>
      </c>
      <c r="P269" s="49" t="str">
        <f>IFERROR(VLOOKUP($Q269,Selection!$F:$G,2,false))</f>
        <v/>
      </c>
      <c r="Q269" s="50" t="str">
        <f>IF(AND($X269="change",$H269="EUR"),IF(AND($Z269="Crédit",$N269=$N270),$Q270,IF(AND($Z269="Débit",$N269=$N268),$Q268)),IF(OR(AND(OR($E269&lt;&gt;"",$L269=""),$M269&lt;&gt;0),$A269=""),IFERROR(VLOOKUP($E269,Selection!$E:$F,2,false)),IFERROR(VLOOKUP(SUBSTITUTE($I269,"-","",1),$K270:$Q1119,7,false),VLOOKUP($K269,$K270:$Q1119,7,false))))</f>
        <v/>
      </c>
      <c r="R269" s="49" t="str">
        <f t="shared" si="2"/>
        <v/>
      </c>
      <c r="S269" s="51" t="str">
        <f t="shared" si="3"/>
        <v/>
      </c>
      <c r="T269" s="52" t="str">
        <f t="shared" si="4"/>
        <v/>
      </c>
      <c r="U269" s="46" t="str">
        <f t="shared" si="5"/>
        <v/>
      </c>
      <c r="V269" s="53" t="str">
        <f>IFERROR(__xludf.DUMMYFUNCTION(" IF(Account!$F269&lt;&gt;"""", SPLIT(Account!$F269, "" ""), """")"),"")</f>
        <v/>
      </c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</row>
    <row r="270">
      <c r="A270" s="11"/>
      <c r="B270" s="11"/>
      <c r="C270" s="11"/>
      <c r="D270" s="11"/>
      <c r="E270" s="11"/>
      <c r="F270" s="12"/>
      <c r="G270" s="11"/>
      <c r="H270" s="11"/>
      <c r="I270" s="11"/>
      <c r="J270" s="11"/>
      <c r="K270" s="11"/>
      <c r="L270" s="45" t="str">
        <f t="shared" si="1"/>
        <v/>
      </c>
      <c r="M270" s="46" t="str">
        <f>IFERROR(__xludf.DUMMYFUNCTION("IF(Account!$F270&lt;&gt;"""", VALUE(REGEXREPLACE($I270, ""\,"", ""."")), """")"),"")</f>
        <v/>
      </c>
      <c r="N270" s="47" t="str">
        <f>IF(Account!$F270&lt;&gt;"", DATEVALUE(MID($A270,4,3) &amp; LEFT($A270,3) &amp; RIGHT($A270,4)) + TIMEVALUE($B270), "")</f>
        <v/>
      </c>
      <c r="O270" s="48" t="str">
        <f>IF(Account!$F270&lt;&gt;"", DATEVALUE(MID($A270,4,3) &amp; LEFT($A270,3) &amp; RIGHT($A270,4)), "")</f>
        <v/>
      </c>
      <c r="P270" s="49" t="str">
        <f>IFERROR(VLOOKUP($Q270,Selection!$F:$G,2,false))</f>
        <v/>
      </c>
      <c r="Q270" s="50" t="str">
        <f>IF(AND($X270="change",$H270="EUR"),IF(AND($Z270="Crédit",$N270=$N271),$Q271,IF(AND($Z270="Débit",$N270=$N269),$Q269)),IF(OR(AND(OR($E270&lt;&gt;"",$L270=""),$M270&lt;&gt;0),$A270=""),IFERROR(VLOOKUP($E270,Selection!$E:$F,2,false)),IFERROR(VLOOKUP(SUBSTITUTE($I270,"-","",1),$K271:$Q1119,7,false),VLOOKUP($K270,$K271:$Q1119,7,false))))</f>
        <v/>
      </c>
      <c r="R270" s="49" t="str">
        <f t="shared" si="2"/>
        <v/>
      </c>
      <c r="S270" s="51" t="str">
        <f t="shared" si="3"/>
        <v/>
      </c>
      <c r="T270" s="52" t="str">
        <f t="shared" si="4"/>
        <v/>
      </c>
      <c r="U270" s="46" t="str">
        <f t="shared" si="5"/>
        <v/>
      </c>
      <c r="V270" s="53" t="str">
        <f>IFERROR(__xludf.DUMMYFUNCTION(" IF(Account!$F270&lt;&gt;"""", SPLIT(Account!$F270, "" ""), """")"),"")</f>
        <v/>
      </c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</row>
    <row r="271">
      <c r="A271" s="11"/>
      <c r="B271" s="11"/>
      <c r="C271" s="11"/>
      <c r="D271" s="11"/>
      <c r="E271" s="11"/>
      <c r="F271" s="12"/>
      <c r="G271" s="215"/>
      <c r="H271" s="11"/>
      <c r="I271" s="11"/>
      <c r="J271" s="11"/>
      <c r="K271" s="11"/>
      <c r="L271" s="45" t="str">
        <f t="shared" si="1"/>
        <v/>
      </c>
      <c r="M271" s="46" t="str">
        <f>IFERROR(__xludf.DUMMYFUNCTION("IF(Account!$F271&lt;&gt;"""", VALUE(REGEXREPLACE($I271, ""\,"", ""."")), """")"),"")</f>
        <v/>
      </c>
      <c r="N271" s="47" t="str">
        <f>IF(Account!$F271&lt;&gt;"", DATEVALUE(MID($A271,4,3) &amp; LEFT($A271,3) &amp; RIGHT($A271,4)) + TIMEVALUE($B271), "")</f>
        <v/>
      </c>
      <c r="O271" s="48" t="str">
        <f>IF(Account!$F271&lt;&gt;"", DATEVALUE(MID($A271,4,3) &amp; LEFT($A271,3) &amp; RIGHT($A271,4)), "")</f>
        <v/>
      </c>
      <c r="P271" s="49" t="str">
        <f>IFERROR(VLOOKUP($Q271,Selection!$F:$G,2,false))</f>
        <v/>
      </c>
      <c r="Q271" s="50" t="str">
        <f>IF(AND($X271="change",$H271="EUR"),IF(AND($Z271="Crédit",$N271=$N272),$Q272,IF(AND($Z271="Débit",$N271=$N270),$Q270)),IF(OR(AND(OR($E271&lt;&gt;"",$L271=""),$M271&lt;&gt;0),$A271=""),IFERROR(VLOOKUP($E271,Selection!$E:$F,2,false)),IFERROR(VLOOKUP(SUBSTITUTE($I271,"-","",1),$K272:$Q1119,7,false),VLOOKUP($K271,$K272:$Q1119,7,false))))</f>
        <v/>
      </c>
      <c r="R271" s="49" t="str">
        <f t="shared" si="2"/>
        <v/>
      </c>
      <c r="S271" s="51" t="str">
        <f t="shared" si="3"/>
        <v/>
      </c>
      <c r="T271" s="52" t="str">
        <f t="shared" si="4"/>
        <v/>
      </c>
      <c r="U271" s="46" t="str">
        <f t="shared" si="5"/>
        <v/>
      </c>
      <c r="V271" s="53" t="str">
        <f>IFERROR(__xludf.DUMMYFUNCTION(" IF(Account!$F271&lt;&gt;"""", SPLIT(Account!$F271, "" ""), """")"),"")</f>
        <v/>
      </c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</row>
    <row r="272">
      <c r="A272" s="11"/>
      <c r="B272" s="11"/>
      <c r="C272" s="11"/>
      <c r="D272" s="11"/>
      <c r="E272" s="11"/>
      <c r="F272" s="12"/>
      <c r="G272" s="215"/>
      <c r="H272" s="11"/>
      <c r="I272" s="11"/>
      <c r="J272" s="11"/>
      <c r="K272" s="11"/>
      <c r="L272" s="45" t="str">
        <f t="shared" si="1"/>
        <v/>
      </c>
      <c r="M272" s="46" t="str">
        <f>IFERROR(__xludf.DUMMYFUNCTION("IF(Account!$F272&lt;&gt;"""", VALUE(REGEXREPLACE($I272, ""\,"", ""."")), """")"),"")</f>
        <v/>
      </c>
      <c r="N272" s="47" t="str">
        <f>IF(Account!$F272&lt;&gt;"", DATEVALUE(MID($A272,4,3) &amp; LEFT($A272,3) &amp; RIGHT($A272,4)) + TIMEVALUE($B272), "")</f>
        <v/>
      </c>
      <c r="O272" s="48" t="str">
        <f>IF(Account!$F272&lt;&gt;"", DATEVALUE(MID($A272,4,3) &amp; LEFT($A272,3) &amp; RIGHT($A272,4)), "")</f>
        <v/>
      </c>
      <c r="P272" s="49" t="str">
        <f>IFERROR(VLOOKUP($Q272,Selection!$F:$G,2,false))</f>
        <v/>
      </c>
      <c r="Q272" s="50" t="str">
        <f>IF(AND($X272="change",$H272="EUR"),IF(AND($Z272="Crédit",$N272=$N273),$Q273,IF(AND($Z272="Débit",$N272=$N271),$Q271)),IF(OR(AND(OR($E272&lt;&gt;"",$L272=""),$M272&lt;&gt;0),$A272=""),IFERROR(VLOOKUP($E272,Selection!$E:$F,2,false)),IFERROR(VLOOKUP(SUBSTITUTE($I272,"-","",1),$K273:$Q1119,7,false),VLOOKUP($K272,$K273:$Q1119,7,false))))</f>
        <v/>
      </c>
      <c r="R272" s="49" t="str">
        <f t="shared" si="2"/>
        <v/>
      </c>
      <c r="S272" s="51" t="str">
        <f t="shared" si="3"/>
        <v/>
      </c>
      <c r="T272" s="52" t="str">
        <f t="shared" si="4"/>
        <v/>
      </c>
      <c r="U272" s="46" t="str">
        <f t="shared" si="5"/>
        <v/>
      </c>
      <c r="V272" s="53" t="str">
        <f>IFERROR(__xludf.DUMMYFUNCTION(" IF(Account!$F272&lt;&gt;"""", SPLIT(Account!$F272, "" ""), """")"),"")</f>
        <v/>
      </c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</row>
    <row r="273">
      <c r="A273" s="11"/>
      <c r="B273" s="11"/>
      <c r="C273" s="11"/>
      <c r="D273" s="11"/>
      <c r="E273" s="11"/>
      <c r="F273" s="12"/>
      <c r="G273" s="215"/>
      <c r="H273" s="11"/>
      <c r="I273" s="11"/>
      <c r="J273" s="11"/>
      <c r="K273" s="11"/>
      <c r="L273" s="45" t="str">
        <f t="shared" si="1"/>
        <v/>
      </c>
      <c r="M273" s="46" t="str">
        <f>IFERROR(__xludf.DUMMYFUNCTION("IF(Account!$F273&lt;&gt;"""", VALUE(REGEXREPLACE($I273, ""\,"", ""."")), """")"),"")</f>
        <v/>
      </c>
      <c r="N273" s="47" t="str">
        <f>IF(Account!$F273&lt;&gt;"", DATEVALUE(MID($A273,4,3) &amp; LEFT($A273,3) &amp; RIGHT($A273,4)) + TIMEVALUE($B273), "")</f>
        <v/>
      </c>
      <c r="O273" s="48" t="str">
        <f>IF(Account!$F273&lt;&gt;"", DATEVALUE(MID($A273,4,3) &amp; LEFT($A273,3) &amp; RIGHT($A273,4)), "")</f>
        <v/>
      </c>
      <c r="P273" s="49" t="str">
        <f>IFERROR(VLOOKUP($Q273,Selection!$F:$G,2,false))</f>
        <v/>
      </c>
      <c r="Q273" s="50" t="str">
        <f>IF(AND($X273="change",$H273="EUR"),IF(AND($Z273="Crédit",$N273=$N274),$Q274,IF(AND($Z273="Débit",$N273=$N272),$Q272)),IF(OR(AND(OR($E273&lt;&gt;"",$L273=""),$M273&lt;&gt;0),$A273=""),IFERROR(VLOOKUP($E273,Selection!$E:$F,2,false)),IFERROR(VLOOKUP(SUBSTITUTE($I273,"-","",1),$K274:$Q1119,7,false),VLOOKUP($K273,$K274:$Q1119,7,false))))</f>
        <v/>
      </c>
      <c r="R273" s="49" t="str">
        <f t="shared" si="2"/>
        <v/>
      </c>
      <c r="S273" s="51" t="str">
        <f t="shared" si="3"/>
        <v/>
      </c>
      <c r="T273" s="52" t="str">
        <f t="shared" si="4"/>
        <v/>
      </c>
      <c r="U273" s="46" t="str">
        <f t="shared" si="5"/>
        <v/>
      </c>
      <c r="V273" s="53" t="str">
        <f>IFERROR(__xludf.DUMMYFUNCTION(" IF(Account!$F273&lt;&gt;"""", SPLIT(Account!$F273, "" ""), """")"),"")</f>
        <v/>
      </c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</row>
    <row r="274">
      <c r="A274" s="11"/>
      <c r="B274" s="11"/>
      <c r="C274" s="11"/>
      <c r="D274" s="11"/>
      <c r="E274" s="11"/>
      <c r="F274" s="12"/>
      <c r="G274" s="215"/>
      <c r="H274" s="11"/>
      <c r="I274" s="11"/>
      <c r="J274" s="11"/>
      <c r="K274" s="11"/>
      <c r="L274" s="45" t="str">
        <f t="shared" si="1"/>
        <v/>
      </c>
      <c r="M274" s="46" t="str">
        <f>IFERROR(__xludf.DUMMYFUNCTION("IF(Account!$F274&lt;&gt;"""", VALUE(REGEXREPLACE($I274, ""\,"", ""."")), """")"),"")</f>
        <v/>
      </c>
      <c r="N274" s="47" t="str">
        <f>IF(Account!$F274&lt;&gt;"", DATEVALUE(MID($A274,4,3) &amp; LEFT($A274,3) &amp; RIGHT($A274,4)) + TIMEVALUE($B274), "")</f>
        <v/>
      </c>
      <c r="O274" s="48" t="str">
        <f>IF(Account!$F274&lt;&gt;"", DATEVALUE(MID($A274,4,3) &amp; LEFT($A274,3) &amp; RIGHT($A274,4)), "")</f>
        <v/>
      </c>
      <c r="P274" s="49" t="str">
        <f>IFERROR(VLOOKUP($Q274,Selection!$F:$G,2,false))</f>
        <v/>
      </c>
      <c r="Q274" s="50" t="str">
        <f>IF(AND($X274="change",$H274="EUR"),IF(AND($Z274="Crédit",$N274=$N275),$Q275,IF(AND($Z274="Débit",$N274=$N273),$Q273)),IF(OR(AND(OR($E274&lt;&gt;"",$L274=""),$M274&lt;&gt;0),$A274=""),IFERROR(VLOOKUP($E274,Selection!$E:$F,2,false)),IFERROR(VLOOKUP(SUBSTITUTE($I274,"-","",1),$K275:$Q1119,7,false),VLOOKUP($K274,$K275:$Q1119,7,false))))</f>
        <v/>
      </c>
      <c r="R274" s="49" t="str">
        <f t="shared" si="2"/>
        <v/>
      </c>
      <c r="S274" s="51" t="str">
        <f t="shared" si="3"/>
        <v/>
      </c>
      <c r="T274" s="52" t="str">
        <f t="shared" si="4"/>
        <v/>
      </c>
      <c r="U274" s="46" t="str">
        <f t="shared" si="5"/>
        <v/>
      </c>
      <c r="V274" s="53" t="str">
        <f>IFERROR(__xludf.DUMMYFUNCTION(" IF(Account!$F274&lt;&gt;"""", SPLIT(Account!$F274, "" ""), """")"),"")</f>
        <v/>
      </c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</row>
    <row r="275">
      <c r="A275" s="11"/>
      <c r="B275" s="11"/>
      <c r="C275" s="11"/>
      <c r="D275" s="11"/>
      <c r="E275" s="11"/>
      <c r="F275" s="12"/>
      <c r="G275" s="11"/>
      <c r="H275" s="11"/>
      <c r="I275" s="11"/>
      <c r="J275" s="11"/>
      <c r="K275" s="11"/>
      <c r="L275" s="45" t="str">
        <f t="shared" si="1"/>
        <v/>
      </c>
      <c r="M275" s="46" t="str">
        <f>IFERROR(__xludf.DUMMYFUNCTION("IF(Account!$F275&lt;&gt;"""", VALUE(REGEXREPLACE($I275, ""\,"", ""."")), """")"),"")</f>
        <v/>
      </c>
      <c r="N275" s="47" t="str">
        <f>IF(Account!$F275&lt;&gt;"", DATEVALUE(MID($A275,4,3) &amp; LEFT($A275,3) &amp; RIGHT($A275,4)) + TIMEVALUE($B275), "")</f>
        <v/>
      </c>
      <c r="O275" s="48" t="str">
        <f>IF(Account!$F275&lt;&gt;"", DATEVALUE(MID($A275,4,3) &amp; LEFT($A275,3) &amp; RIGHT($A275,4)), "")</f>
        <v/>
      </c>
      <c r="P275" s="49" t="str">
        <f>IFERROR(VLOOKUP($Q275,Selection!$F:$G,2,false))</f>
        <v/>
      </c>
      <c r="Q275" s="50" t="str">
        <f>IF(AND($X275="change",$H275="EUR"),IF(AND($Z275="Crédit",$N275=$N276),$Q276,IF(AND($Z275="Débit",$N275=$N274),$Q274)),IF(OR(AND(OR($E275&lt;&gt;"",$L275=""),$M275&lt;&gt;0),$A275=""),IFERROR(VLOOKUP($E275,Selection!$E:$F,2,false)),IFERROR(VLOOKUP(SUBSTITUTE($I275,"-","",1),$K276:$Q1119,7,false),VLOOKUP($K275,$K276:$Q1119,7,false))))</f>
        <v/>
      </c>
      <c r="R275" s="49" t="str">
        <f t="shared" si="2"/>
        <v/>
      </c>
      <c r="S275" s="51" t="str">
        <f t="shared" si="3"/>
        <v/>
      </c>
      <c r="T275" s="52" t="str">
        <f t="shared" si="4"/>
        <v/>
      </c>
      <c r="U275" s="46" t="str">
        <f t="shared" si="5"/>
        <v/>
      </c>
      <c r="V275" s="53" t="str">
        <f>IFERROR(__xludf.DUMMYFUNCTION(" IF(Account!$F275&lt;&gt;"""", SPLIT(Account!$F275, "" ""), """")"),"")</f>
        <v/>
      </c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</row>
    <row r="276">
      <c r="A276" s="11"/>
      <c r="B276" s="11"/>
      <c r="C276" s="11"/>
      <c r="D276" s="11"/>
      <c r="E276" s="11"/>
      <c r="F276" s="12"/>
      <c r="G276" s="215"/>
      <c r="H276" s="11"/>
      <c r="I276" s="11"/>
      <c r="J276" s="11"/>
      <c r="K276" s="11"/>
      <c r="L276" s="45" t="str">
        <f t="shared" si="1"/>
        <v/>
      </c>
      <c r="M276" s="46" t="str">
        <f>IFERROR(__xludf.DUMMYFUNCTION("IF(Account!$F276&lt;&gt;"""", VALUE(REGEXREPLACE($I276, ""\,"", ""."")), """")"),"")</f>
        <v/>
      </c>
      <c r="N276" s="47" t="str">
        <f>IF(Account!$F276&lt;&gt;"", DATEVALUE(MID($A276,4,3) &amp; LEFT($A276,3) &amp; RIGHT($A276,4)) + TIMEVALUE($B276), "")</f>
        <v/>
      </c>
      <c r="O276" s="48" t="str">
        <f>IF(Account!$F276&lt;&gt;"", DATEVALUE(MID($A276,4,3) &amp; LEFT($A276,3) &amp; RIGHT($A276,4)), "")</f>
        <v/>
      </c>
      <c r="P276" s="49" t="str">
        <f>IFERROR(VLOOKUP($Q276,Selection!$F:$G,2,false))</f>
        <v/>
      </c>
      <c r="Q276" s="50" t="str">
        <f>IF(AND($X276="change",$H276="EUR"),IF(AND($Z276="Crédit",$N276=$N277),$Q277,IF(AND($Z276="Débit",$N276=$N275),$Q275)),IF(OR(AND(OR($E276&lt;&gt;"",$L276=""),$M276&lt;&gt;0),$A276=""),IFERROR(VLOOKUP($E276,Selection!$E:$F,2,false)),IFERROR(VLOOKUP(SUBSTITUTE($I276,"-","",1),$K277:$Q1119,7,false),VLOOKUP($K276,$K277:$Q1119,7,false))))</f>
        <v/>
      </c>
      <c r="R276" s="49" t="str">
        <f t="shared" si="2"/>
        <v/>
      </c>
      <c r="S276" s="51" t="str">
        <f t="shared" si="3"/>
        <v/>
      </c>
      <c r="T276" s="52" t="str">
        <f t="shared" si="4"/>
        <v/>
      </c>
      <c r="U276" s="46" t="str">
        <f t="shared" si="5"/>
        <v/>
      </c>
      <c r="V276" s="53" t="str">
        <f>IFERROR(__xludf.DUMMYFUNCTION(" IF(Account!$F276&lt;&gt;"""", SPLIT(Account!$F276, "" ""), """")"),"")</f>
        <v/>
      </c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</row>
    <row r="277">
      <c r="A277" s="11"/>
      <c r="B277" s="11"/>
      <c r="C277" s="11"/>
      <c r="D277" s="11"/>
      <c r="E277" s="11"/>
      <c r="F277" s="12"/>
      <c r="G277" s="11"/>
      <c r="H277" s="11"/>
      <c r="I277" s="11"/>
      <c r="J277" s="11"/>
      <c r="K277" s="11"/>
      <c r="L277" s="45" t="str">
        <f t="shared" si="1"/>
        <v/>
      </c>
      <c r="M277" s="46" t="str">
        <f>IFERROR(__xludf.DUMMYFUNCTION("IF(Account!$F277&lt;&gt;"""", VALUE(REGEXREPLACE($I277, ""\,"", ""."")), """")"),"")</f>
        <v/>
      </c>
      <c r="N277" s="47" t="str">
        <f>IF(Account!$F277&lt;&gt;"", DATEVALUE(MID($A277,4,3) &amp; LEFT($A277,3) &amp; RIGHT($A277,4)) + TIMEVALUE($B277), "")</f>
        <v/>
      </c>
      <c r="O277" s="48" t="str">
        <f>IF(Account!$F277&lt;&gt;"", DATEVALUE(MID($A277,4,3) &amp; LEFT($A277,3) &amp; RIGHT($A277,4)), "")</f>
        <v/>
      </c>
      <c r="P277" s="49" t="str">
        <f>IFERROR(VLOOKUP($Q277,Selection!$F:$G,2,false))</f>
        <v/>
      </c>
      <c r="Q277" s="50" t="str">
        <f>IF(AND($X277="change",$H277="EUR"),IF(AND($Z277="Crédit",$N277=$N278),$Q278,IF(AND($Z277="Débit",$N277=$N276),$Q276)),IF(OR(AND(OR($E277&lt;&gt;"",$L277=""),$M277&lt;&gt;0),$A277=""),IFERROR(VLOOKUP($E277,Selection!$E:$F,2,false)),IFERROR(VLOOKUP(SUBSTITUTE($I277,"-","",1),$K278:$Q1119,7,false),VLOOKUP($K277,$K278:$Q1119,7,false))))</f>
        <v/>
      </c>
      <c r="R277" s="49" t="str">
        <f t="shared" si="2"/>
        <v/>
      </c>
      <c r="S277" s="51" t="str">
        <f t="shared" si="3"/>
        <v/>
      </c>
      <c r="T277" s="52" t="str">
        <f t="shared" si="4"/>
        <v/>
      </c>
      <c r="U277" s="46" t="str">
        <f t="shared" si="5"/>
        <v/>
      </c>
      <c r="V277" s="53" t="str">
        <f>IFERROR(__xludf.DUMMYFUNCTION(" IF(Account!$F277&lt;&gt;"""", SPLIT(Account!$F277, "" ""), """")"),"")</f>
        <v/>
      </c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</row>
    <row r="278">
      <c r="A278" s="11"/>
      <c r="B278" s="11"/>
      <c r="C278" s="11"/>
      <c r="D278" s="11"/>
      <c r="E278" s="11"/>
      <c r="F278" s="12"/>
      <c r="G278" s="215"/>
      <c r="H278" s="11"/>
      <c r="I278" s="11"/>
      <c r="J278" s="11"/>
      <c r="K278" s="11"/>
      <c r="L278" s="45" t="str">
        <f t="shared" si="1"/>
        <v/>
      </c>
      <c r="M278" s="46" t="str">
        <f>IFERROR(__xludf.DUMMYFUNCTION("IF(Account!$F278&lt;&gt;"""", VALUE(REGEXREPLACE($I278, ""\,"", ""."")), """")"),"")</f>
        <v/>
      </c>
      <c r="N278" s="47" t="str">
        <f>IF(Account!$F278&lt;&gt;"", DATEVALUE(MID($A278,4,3) &amp; LEFT($A278,3) &amp; RIGHT($A278,4)) + TIMEVALUE($B278), "")</f>
        <v/>
      </c>
      <c r="O278" s="48" t="str">
        <f>IF(Account!$F278&lt;&gt;"", DATEVALUE(MID($A278,4,3) &amp; LEFT($A278,3) &amp; RIGHT($A278,4)), "")</f>
        <v/>
      </c>
      <c r="P278" s="49" t="str">
        <f>IFERROR(VLOOKUP($Q278,Selection!$F:$G,2,false))</f>
        <v/>
      </c>
      <c r="Q278" s="50" t="str">
        <f>IF(AND($X278="change",$H278="EUR"),IF(AND($Z278="Crédit",$N278=$N279),$Q279,IF(AND($Z278="Débit",$N278=$N277),$Q277)),IF(OR(AND(OR($E278&lt;&gt;"",$L278=""),$M278&lt;&gt;0),$A278=""),IFERROR(VLOOKUP($E278,Selection!$E:$F,2,false)),IFERROR(VLOOKUP(SUBSTITUTE($I278,"-","",1),$K279:$Q1119,7,false),VLOOKUP($K278,$K279:$Q1119,7,false))))</f>
        <v/>
      </c>
      <c r="R278" s="49" t="str">
        <f t="shared" si="2"/>
        <v/>
      </c>
      <c r="S278" s="51" t="str">
        <f t="shared" si="3"/>
        <v/>
      </c>
      <c r="T278" s="52" t="str">
        <f t="shared" si="4"/>
        <v/>
      </c>
      <c r="U278" s="46" t="str">
        <f t="shared" si="5"/>
        <v/>
      </c>
      <c r="V278" s="53" t="str">
        <f>IFERROR(__xludf.DUMMYFUNCTION(" IF(Account!$F278&lt;&gt;"""", SPLIT(Account!$F278, "" ""), """")"),"")</f>
        <v/>
      </c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</row>
    <row r="279">
      <c r="A279" s="11"/>
      <c r="B279" s="11"/>
      <c r="C279" s="11"/>
      <c r="D279" s="11"/>
      <c r="E279" s="11"/>
      <c r="F279" s="12"/>
      <c r="G279" s="11"/>
      <c r="H279" s="11"/>
      <c r="I279" s="11"/>
      <c r="J279" s="11"/>
      <c r="K279" s="11"/>
      <c r="L279" s="45" t="str">
        <f t="shared" si="1"/>
        <v/>
      </c>
      <c r="M279" s="46" t="str">
        <f>IFERROR(__xludf.DUMMYFUNCTION("IF(Account!$F279&lt;&gt;"""", VALUE(REGEXREPLACE($I279, ""\,"", ""."")), """")"),"")</f>
        <v/>
      </c>
      <c r="N279" s="47" t="str">
        <f>IF(Account!$F279&lt;&gt;"", DATEVALUE(MID($A279,4,3) &amp; LEFT($A279,3) &amp; RIGHT($A279,4)) + TIMEVALUE($B279), "")</f>
        <v/>
      </c>
      <c r="O279" s="48" t="str">
        <f>IF(Account!$F279&lt;&gt;"", DATEVALUE(MID($A279,4,3) &amp; LEFT($A279,3) &amp; RIGHT($A279,4)), "")</f>
        <v/>
      </c>
      <c r="P279" s="49" t="str">
        <f>IFERROR(VLOOKUP($Q279,Selection!$F:$G,2,false))</f>
        <v/>
      </c>
      <c r="Q279" s="50" t="str">
        <f>IF(AND($X279="change",$H279="EUR"),IF(AND($Z279="Crédit",$N279=$N280),$Q280,IF(AND($Z279="Débit",$N279=$N278),$Q278)),IF(OR(AND(OR($E279&lt;&gt;"",$L279=""),$M279&lt;&gt;0),$A279=""),IFERROR(VLOOKUP($E279,Selection!$E:$F,2,false)),IFERROR(VLOOKUP(SUBSTITUTE($I279,"-","",1),$K280:$Q1119,7,false),VLOOKUP($K279,$K280:$Q1119,7,false))))</f>
        <v/>
      </c>
      <c r="R279" s="49" t="str">
        <f t="shared" si="2"/>
        <v/>
      </c>
      <c r="S279" s="51" t="str">
        <f t="shared" si="3"/>
        <v/>
      </c>
      <c r="T279" s="52" t="str">
        <f t="shared" si="4"/>
        <v/>
      </c>
      <c r="U279" s="46" t="str">
        <f t="shared" si="5"/>
        <v/>
      </c>
      <c r="V279" s="53" t="str">
        <f>IFERROR(__xludf.DUMMYFUNCTION(" IF(Account!$F279&lt;&gt;"""", SPLIT(Account!$F279, "" ""), """")"),"")</f>
        <v/>
      </c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</row>
    <row r="280">
      <c r="A280" s="11"/>
      <c r="B280" s="11"/>
      <c r="C280" s="11"/>
      <c r="D280" s="11"/>
      <c r="E280" s="11"/>
      <c r="F280" s="12"/>
      <c r="G280" s="215"/>
      <c r="H280" s="11"/>
      <c r="I280" s="11"/>
      <c r="J280" s="11"/>
      <c r="K280" s="11"/>
      <c r="L280" s="45" t="str">
        <f t="shared" si="1"/>
        <v/>
      </c>
      <c r="M280" s="46" t="str">
        <f>IFERROR(__xludf.DUMMYFUNCTION("IF(Account!$F280&lt;&gt;"""", VALUE(REGEXREPLACE($I280, ""\,"", ""."")), """")"),"")</f>
        <v/>
      </c>
      <c r="N280" s="47" t="str">
        <f>IF(Account!$F280&lt;&gt;"", DATEVALUE(MID($A280,4,3) &amp; LEFT($A280,3) &amp; RIGHT($A280,4)) + TIMEVALUE($B280), "")</f>
        <v/>
      </c>
      <c r="O280" s="48" t="str">
        <f>IF(Account!$F280&lt;&gt;"", DATEVALUE(MID($A280,4,3) &amp; LEFT($A280,3) &amp; RIGHT($A280,4)), "")</f>
        <v/>
      </c>
      <c r="P280" s="49" t="str">
        <f>IFERROR(VLOOKUP($Q280,Selection!$F:$G,2,false))</f>
        <v/>
      </c>
      <c r="Q280" s="50" t="str">
        <f>IF(AND($X280="change",$H280="EUR"),IF(AND($Z280="Crédit",$N280=$N281),$Q281,IF(AND($Z280="Débit",$N280=$N279),$Q279)),IF(OR(AND(OR($E280&lt;&gt;"",$L280=""),$M280&lt;&gt;0),$A280=""),IFERROR(VLOOKUP($E280,Selection!$E:$F,2,false)),IFERROR(VLOOKUP(SUBSTITUTE($I280,"-","",1),$K281:$Q1119,7,false),VLOOKUP($K280,$K281:$Q1119,7,false))))</f>
        <v/>
      </c>
      <c r="R280" s="49" t="str">
        <f t="shared" si="2"/>
        <v/>
      </c>
      <c r="S280" s="51" t="str">
        <f t="shared" si="3"/>
        <v/>
      </c>
      <c r="T280" s="52" t="str">
        <f t="shared" si="4"/>
        <v/>
      </c>
      <c r="U280" s="46" t="str">
        <f t="shared" si="5"/>
        <v/>
      </c>
      <c r="V280" s="53" t="str">
        <f>IFERROR(__xludf.DUMMYFUNCTION(" IF(Account!$F280&lt;&gt;"""", SPLIT(Account!$F280, "" ""), """")"),"")</f>
        <v/>
      </c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</row>
    <row r="281">
      <c r="A281" s="11"/>
      <c r="B281" s="11"/>
      <c r="C281" s="11"/>
      <c r="D281" s="11"/>
      <c r="E281" s="11"/>
      <c r="F281" s="12"/>
      <c r="G281" s="215"/>
      <c r="H281" s="11"/>
      <c r="I281" s="11"/>
      <c r="J281" s="11"/>
      <c r="K281" s="11"/>
      <c r="L281" s="45" t="str">
        <f t="shared" si="1"/>
        <v/>
      </c>
      <c r="M281" s="46" t="str">
        <f>IFERROR(__xludf.DUMMYFUNCTION("IF(Account!$F281&lt;&gt;"""", VALUE(REGEXREPLACE($I281, ""\,"", ""."")), """")"),"")</f>
        <v/>
      </c>
      <c r="N281" s="47" t="str">
        <f>IF(Account!$F281&lt;&gt;"", DATEVALUE(MID($A281,4,3) &amp; LEFT($A281,3) &amp; RIGHT($A281,4)) + TIMEVALUE($B281), "")</f>
        <v/>
      </c>
      <c r="O281" s="48" t="str">
        <f>IF(Account!$F281&lt;&gt;"", DATEVALUE(MID($A281,4,3) &amp; LEFT($A281,3) &amp; RIGHT($A281,4)), "")</f>
        <v/>
      </c>
      <c r="P281" s="49" t="str">
        <f>IFERROR(VLOOKUP($Q281,Selection!$F:$G,2,false))</f>
        <v/>
      </c>
      <c r="Q281" s="50" t="str">
        <f>IF(AND($X281="change",$H281="EUR"),IF(AND($Z281="Crédit",$N281=$N282),$Q282,IF(AND($Z281="Débit",$N281=$N280),$Q280)),IF(OR(AND(OR($E281&lt;&gt;"",$L281=""),$M281&lt;&gt;0),$A281=""),IFERROR(VLOOKUP($E281,Selection!$E:$F,2,false)),IFERROR(VLOOKUP(SUBSTITUTE($I281,"-","",1),$K282:$Q1119,7,false),VLOOKUP($K281,$K282:$Q1119,7,false))))</f>
        <v/>
      </c>
      <c r="R281" s="49" t="str">
        <f t="shared" si="2"/>
        <v/>
      </c>
      <c r="S281" s="51" t="str">
        <f t="shared" si="3"/>
        <v/>
      </c>
      <c r="T281" s="52" t="str">
        <f t="shared" si="4"/>
        <v/>
      </c>
      <c r="U281" s="46" t="str">
        <f t="shared" si="5"/>
        <v/>
      </c>
      <c r="V281" s="53" t="str">
        <f>IFERROR(__xludf.DUMMYFUNCTION(" IF(Account!$F281&lt;&gt;"""", SPLIT(Account!$F281, "" ""), """")"),"")</f>
        <v/>
      </c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</row>
    <row r="282">
      <c r="A282" s="11"/>
      <c r="B282" s="11"/>
      <c r="C282" s="11"/>
      <c r="D282" s="11"/>
      <c r="E282" s="11"/>
      <c r="F282" s="12"/>
      <c r="G282" s="215"/>
      <c r="H282" s="11"/>
      <c r="I282" s="11"/>
      <c r="J282" s="11"/>
      <c r="K282" s="11"/>
      <c r="L282" s="45" t="str">
        <f t="shared" si="1"/>
        <v/>
      </c>
      <c r="M282" s="46" t="str">
        <f>IFERROR(__xludf.DUMMYFUNCTION("IF(Account!$F282&lt;&gt;"""", VALUE(REGEXREPLACE($I282, ""\,"", ""."")), """")"),"")</f>
        <v/>
      </c>
      <c r="N282" s="47" t="str">
        <f>IF(Account!$F282&lt;&gt;"", DATEVALUE(MID($A282,4,3) &amp; LEFT($A282,3) &amp; RIGHT($A282,4)) + TIMEVALUE($B282), "")</f>
        <v/>
      </c>
      <c r="O282" s="48" t="str">
        <f>IF(Account!$F282&lt;&gt;"", DATEVALUE(MID($A282,4,3) &amp; LEFT($A282,3) &amp; RIGHT($A282,4)), "")</f>
        <v/>
      </c>
      <c r="P282" s="49" t="str">
        <f>IFERROR(VLOOKUP($Q282,Selection!$F:$G,2,false))</f>
        <v/>
      </c>
      <c r="Q282" s="50" t="str">
        <f>IF(AND($X282="change",$H282="EUR"),IF(AND($Z282="Crédit",$N282=$N283),$Q283,IF(AND($Z282="Débit",$N282=$N281),$Q281)),IF(OR(AND(OR($E282&lt;&gt;"",$L282=""),$M282&lt;&gt;0),$A282=""),IFERROR(VLOOKUP($E282,Selection!$E:$F,2,false)),IFERROR(VLOOKUP(SUBSTITUTE($I282,"-","",1),$K283:$Q1119,7,false),VLOOKUP($K282,$K283:$Q1119,7,false))))</f>
        <v/>
      </c>
      <c r="R282" s="49" t="str">
        <f t="shared" si="2"/>
        <v/>
      </c>
      <c r="S282" s="51" t="str">
        <f t="shared" si="3"/>
        <v/>
      </c>
      <c r="T282" s="52" t="str">
        <f t="shared" si="4"/>
        <v/>
      </c>
      <c r="U282" s="46" t="str">
        <f t="shared" si="5"/>
        <v/>
      </c>
      <c r="V282" s="53" t="str">
        <f>IFERROR(__xludf.DUMMYFUNCTION(" IF(Account!$F282&lt;&gt;"""", SPLIT(Account!$F282, "" ""), """")"),"")</f>
        <v/>
      </c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</row>
    <row r="283">
      <c r="A283" s="11"/>
      <c r="B283" s="11"/>
      <c r="C283" s="11"/>
      <c r="D283" s="11"/>
      <c r="E283" s="11"/>
      <c r="F283" s="12"/>
      <c r="G283" s="215"/>
      <c r="H283" s="11"/>
      <c r="I283" s="11"/>
      <c r="J283" s="11"/>
      <c r="K283" s="11"/>
      <c r="L283" s="45" t="str">
        <f t="shared" si="1"/>
        <v/>
      </c>
      <c r="M283" s="46" t="str">
        <f>IFERROR(__xludf.DUMMYFUNCTION("IF(Account!$F283&lt;&gt;"""", VALUE(REGEXREPLACE($I283, ""\,"", ""."")), """")"),"")</f>
        <v/>
      </c>
      <c r="N283" s="47" t="str">
        <f>IF(Account!$F283&lt;&gt;"", DATEVALUE(MID($A283,4,3) &amp; LEFT($A283,3) &amp; RIGHT($A283,4)) + TIMEVALUE($B283), "")</f>
        <v/>
      </c>
      <c r="O283" s="48" t="str">
        <f>IF(Account!$F283&lt;&gt;"", DATEVALUE(MID($A283,4,3) &amp; LEFT($A283,3) &amp; RIGHT($A283,4)), "")</f>
        <v/>
      </c>
      <c r="P283" s="49" t="str">
        <f>IFERROR(VLOOKUP($Q283,Selection!$F:$G,2,false))</f>
        <v/>
      </c>
      <c r="Q283" s="50" t="str">
        <f>IF(AND($X283="change",$H283="EUR"),IF(AND($Z283="Crédit",$N283=$N284),$Q284,IF(AND($Z283="Débit",$N283=$N282),$Q282)),IF(OR(AND(OR($E283&lt;&gt;"",$L283=""),$M283&lt;&gt;0),$A283=""),IFERROR(VLOOKUP($E283,Selection!$E:$F,2,false)),IFERROR(VLOOKUP(SUBSTITUTE($I283,"-","",1),$K284:$Q1119,7,false),VLOOKUP($K283,$K284:$Q1119,7,false))))</f>
        <v/>
      </c>
      <c r="R283" s="49" t="str">
        <f t="shared" si="2"/>
        <v/>
      </c>
      <c r="S283" s="51" t="str">
        <f t="shared" si="3"/>
        <v/>
      </c>
      <c r="T283" s="52" t="str">
        <f t="shared" si="4"/>
        <v/>
      </c>
      <c r="U283" s="46" t="str">
        <f t="shared" si="5"/>
        <v/>
      </c>
      <c r="V283" s="53" t="str">
        <f>IFERROR(__xludf.DUMMYFUNCTION(" IF(Account!$F283&lt;&gt;"""", SPLIT(Account!$F283, "" ""), """")"),"")</f>
        <v/>
      </c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</row>
    <row r="284">
      <c r="A284" s="11"/>
      <c r="B284" s="11"/>
      <c r="C284" s="11"/>
      <c r="D284" s="11"/>
      <c r="E284" s="11"/>
      <c r="F284" s="12"/>
      <c r="G284" s="215"/>
      <c r="H284" s="11"/>
      <c r="I284" s="11"/>
      <c r="J284" s="11"/>
      <c r="K284" s="11"/>
      <c r="L284" s="45" t="str">
        <f t="shared" si="1"/>
        <v/>
      </c>
      <c r="M284" s="46" t="str">
        <f>IFERROR(__xludf.DUMMYFUNCTION("IF(Account!$F284&lt;&gt;"""", VALUE(REGEXREPLACE($I284, ""\,"", ""."")), """")"),"")</f>
        <v/>
      </c>
      <c r="N284" s="47" t="str">
        <f>IF(Account!$F284&lt;&gt;"", DATEVALUE(MID($A284,4,3) &amp; LEFT($A284,3) &amp; RIGHT($A284,4)) + TIMEVALUE($B284), "")</f>
        <v/>
      </c>
      <c r="O284" s="48" t="str">
        <f>IF(Account!$F284&lt;&gt;"", DATEVALUE(MID($A284,4,3) &amp; LEFT($A284,3) &amp; RIGHT($A284,4)), "")</f>
        <v/>
      </c>
      <c r="P284" s="49" t="str">
        <f>IFERROR(VLOOKUP($Q284,Selection!$F:$G,2,false))</f>
        <v/>
      </c>
      <c r="Q284" s="50" t="str">
        <f>IF(AND($X284="change",$H284="EUR"),IF(AND($Z284="Crédit",$N284=$N285),$Q285,IF(AND($Z284="Débit",$N284=$N283),$Q283)),IF(OR(AND(OR($E284&lt;&gt;"",$L284=""),$M284&lt;&gt;0),$A284=""),IFERROR(VLOOKUP($E284,Selection!$E:$F,2,false)),IFERROR(VLOOKUP(SUBSTITUTE($I284,"-","",1),$K285:$Q1119,7,false),VLOOKUP($K284,$K285:$Q1119,7,false))))</f>
        <v/>
      </c>
      <c r="R284" s="49" t="str">
        <f t="shared" si="2"/>
        <v/>
      </c>
      <c r="S284" s="51" t="str">
        <f t="shared" si="3"/>
        <v/>
      </c>
      <c r="T284" s="52" t="str">
        <f t="shared" si="4"/>
        <v/>
      </c>
      <c r="U284" s="46" t="str">
        <f t="shared" si="5"/>
        <v/>
      </c>
      <c r="V284" s="53" t="str">
        <f>IFERROR(__xludf.DUMMYFUNCTION(" IF(Account!$F284&lt;&gt;"""", SPLIT(Account!$F284, "" ""), """")"),"")</f>
        <v/>
      </c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</row>
    <row r="285">
      <c r="A285" s="11"/>
      <c r="B285" s="11"/>
      <c r="C285" s="11"/>
      <c r="D285" s="11"/>
      <c r="E285" s="11"/>
      <c r="F285" s="12"/>
      <c r="G285" s="215"/>
      <c r="H285" s="11"/>
      <c r="I285" s="11"/>
      <c r="J285" s="11"/>
      <c r="K285" s="11"/>
      <c r="L285" s="45" t="str">
        <f t="shared" si="1"/>
        <v/>
      </c>
      <c r="M285" s="46" t="str">
        <f>IFERROR(__xludf.DUMMYFUNCTION("IF(Account!$F285&lt;&gt;"""", VALUE(REGEXREPLACE($I285, ""\,"", ""."")), """")"),"")</f>
        <v/>
      </c>
      <c r="N285" s="47" t="str">
        <f>IF(Account!$F285&lt;&gt;"", DATEVALUE(MID($A285,4,3) &amp; LEFT($A285,3) &amp; RIGHT($A285,4)) + TIMEVALUE($B285), "")</f>
        <v/>
      </c>
      <c r="O285" s="48" t="str">
        <f>IF(Account!$F285&lt;&gt;"", DATEVALUE(MID($A285,4,3) &amp; LEFT($A285,3) &amp; RIGHT($A285,4)), "")</f>
        <v/>
      </c>
      <c r="P285" s="49" t="str">
        <f>IFERROR(VLOOKUP($Q285,Selection!$F:$G,2,false))</f>
        <v/>
      </c>
      <c r="Q285" s="50" t="str">
        <f>IF(AND($X285="change",$H285="EUR"),IF(AND($Z285="Crédit",$N285=$N286),$Q286,IF(AND($Z285="Débit",$N285=$N284),$Q284)),IF(OR(AND(OR($E285&lt;&gt;"",$L285=""),$M285&lt;&gt;0),$A285=""),IFERROR(VLOOKUP($E285,Selection!$E:$F,2,false)),IFERROR(VLOOKUP(SUBSTITUTE($I285,"-","",1),$K286:$Q1119,7,false),VLOOKUP($K285,$K286:$Q1119,7,false))))</f>
        <v/>
      </c>
      <c r="R285" s="49" t="str">
        <f t="shared" si="2"/>
        <v/>
      </c>
      <c r="S285" s="51" t="str">
        <f t="shared" si="3"/>
        <v/>
      </c>
      <c r="T285" s="52" t="str">
        <f t="shared" si="4"/>
        <v/>
      </c>
      <c r="U285" s="46" t="str">
        <f t="shared" si="5"/>
        <v/>
      </c>
      <c r="V285" s="53" t="str">
        <f>IFERROR(__xludf.DUMMYFUNCTION(" IF(Account!$F285&lt;&gt;"""", SPLIT(Account!$F285, "" ""), """")"),"")</f>
        <v/>
      </c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</row>
    <row r="286">
      <c r="A286" s="11"/>
      <c r="B286" s="11"/>
      <c r="C286" s="11"/>
      <c r="D286" s="11"/>
      <c r="E286" s="11"/>
      <c r="F286" s="12"/>
      <c r="G286" s="11"/>
      <c r="H286" s="11"/>
      <c r="I286" s="11"/>
      <c r="J286" s="11"/>
      <c r="K286" s="11"/>
      <c r="L286" s="45" t="str">
        <f t="shared" si="1"/>
        <v/>
      </c>
      <c r="M286" s="46" t="str">
        <f>IFERROR(__xludf.DUMMYFUNCTION("IF(Account!$F286&lt;&gt;"""", VALUE(REGEXREPLACE($I286, ""\,"", ""."")), """")"),"")</f>
        <v/>
      </c>
      <c r="N286" s="47" t="str">
        <f>IF(Account!$F286&lt;&gt;"", DATEVALUE(MID($A286,4,3) &amp; LEFT($A286,3) &amp; RIGHT($A286,4)) + TIMEVALUE($B286), "")</f>
        <v/>
      </c>
      <c r="O286" s="48" t="str">
        <f>IF(Account!$F286&lt;&gt;"", DATEVALUE(MID($A286,4,3) &amp; LEFT($A286,3) &amp; RIGHT($A286,4)), "")</f>
        <v/>
      </c>
      <c r="P286" s="49" t="str">
        <f>IFERROR(VLOOKUP($Q286,Selection!$F:$G,2,false))</f>
        <v/>
      </c>
      <c r="Q286" s="50" t="str">
        <f>IF(AND($X286="change",$H286="EUR"),IF(AND($Z286="Crédit",$N286=$N287),$Q287,IF(AND($Z286="Débit",$N286=$N285),$Q285)),IF(OR(AND(OR($E286&lt;&gt;"",$L286=""),$M286&lt;&gt;0),$A286=""),IFERROR(VLOOKUP($E286,Selection!$E:$F,2,false)),IFERROR(VLOOKUP(SUBSTITUTE($I286,"-","",1),$K287:$Q1119,7,false),VLOOKUP($K286,$K287:$Q1119,7,false))))</f>
        <v/>
      </c>
      <c r="R286" s="49" t="str">
        <f t="shared" si="2"/>
        <v/>
      </c>
      <c r="S286" s="51" t="str">
        <f t="shared" si="3"/>
        <v/>
      </c>
      <c r="T286" s="52" t="str">
        <f t="shared" si="4"/>
        <v/>
      </c>
      <c r="U286" s="46" t="str">
        <f t="shared" si="5"/>
        <v/>
      </c>
      <c r="V286" s="53" t="str">
        <f>IFERROR(__xludf.DUMMYFUNCTION(" IF(Account!$F286&lt;&gt;"""", SPLIT(Account!$F286, "" ""), """")"),"")</f>
        <v/>
      </c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</row>
    <row r="287">
      <c r="A287" s="11"/>
      <c r="B287" s="11"/>
      <c r="C287" s="11"/>
      <c r="D287" s="11"/>
      <c r="E287" s="11"/>
      <c r="F287" s="12"/>
      <c r="G287" s="215"/>
      <c r="H287" s="11"/>
      <c r="I287" s="11"/>
      <c r="J287" s="11"/>
      <c r="K287" s="11"/>
      <c r="L287" s="45" t="str">
        <f t="shared" si="1"/>
        <v/>
      </c>
      <c r="M287" s="46" t="str">
        <f>IFERROR(__xludf.DUMMYFUNCTION("IF(Account!$F287&lt;&gt;"""", VALUE(REGEXREPLACE($I287, ""\,"", ""."")), """")"),"")</f>
        <v/>
      </c>
      <c r="N287" s="47" t="str">
        <f>IF(Account!$F287&lt;&gt;"", DATEVALUE(MID($A287,4,3) &amp; LEFT($A287,3) &amp; RIGHT($A287,4)) + TIMEVALUE($B287), "")</f>
        <v/>
      </c>
      <c r="O287" s="48" t="str">
        <f>IF(Account!$F287&lt;&gt;"", DATEVALUE(MID($A287,4,3) &amp; LEFT($A287,3) &amp; RIGHT($A287,4)), "")</f>
        <v/>
      </c>
      <c r="P287" s="49" t="str">
        <f>IFERROR(VLOOKUP($Q287,Selection!$F:$G,2,false))</f>
        <v/>
      </c>
      <c r="Q287" s="50" t="str">
        <f>IF(AND($X287="change",$H287="EUR"),IF(AND($Z287="Crédit",$N287=$N288),$Q288,IF(AND($Z287="Débit",$N287=$N286),$Q286)),IF(OR(AND(OR($E287&lt;&gt;"",$L287=""),$M287&lt;&gt;0),$A287=""),IFERROR(VLOOKUP($E287,Selection!$E:$F,2,false)),IFERROR(VLOOKUP(SUBSTITUTE($I287,"-","",1),$K288:$Q1119,7,false),VLOOKUP($K287,$K288:$Q1119,7,false))))</f>
        <v/>
      </c>
      <c r="R287" s="49" t="str">
        <f t="shared" si="2"/>
        <v/>
      </c>
      <c r="S287" s="51" t="str">
        <f t="shared" si="3"/>
        <v/>
      </c>
      <c r="T287" s="52" t="str">
        <f t="shared" si="4"/>
        <v/>
      </c>
      <c r="U287" s="46" t="str">
        <f t="shared" si="5"/>
        <v/>
      </c>
      <c r="V287" s="53" t="str">
        <f>IFERROR(__xludf.DUMMYFUNCTION(" IF(Account!$F287&lt;&gt;"""", SPLIT(Account!$F287, "" ""), """")"),"")</f>
        <v/>
      </c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</row>
    <row r="288">
      <c r="A288" s="11"/>
      <c r="B288" s="11"/>
      <c r="C288" s="11"/>
      <c r="D288" s="11"/>
      <c r="E288" s="11"/>
      <c r="F288" s="12"/>
      <c r="G288" s="11"/>
      <c r="H288" s="11"/>
      <c r="I288" s="11"/>
      <c r="J288" s="11"/>
      <c r="K288" s="11"/>
      <c r="L288" s="45" t="str">
        <f t="shared" si="1"/>
        <v/>
      </c>
      <c r="M288" s="46" t="str">
        <f>IFERROR(__xludf.DUMMYFUNCTION("IF(Account!$F288&lt;&gt;"""", VALUE(REGEXREPLACE($I288, ""\,"", ""."")), """")"),"")</f>
        <v/>
      </c>
      <c r="N288" s="47" t="str">
        <f>IF(Account!$F288&lt;&gt;"", DATEVALUE(MID($A288,4,3) &amp; LEFT($A288,3) &amp; RIGHT($A288,4)) + TIMEVALUE($B288), "")</f>
        <v/>
      </c>
      <c r="O288" s="48" t="str">
        <f>IF(Account!$F288&lt;&gt;"", DATEVALUE(MID($A288,4,3) &amp; LEFT($A288,3) &amp; RIGHT($A288,4)), "")</f>
        <v/>
      </c>
      <c r="P288" s="49" t="str">
        <f>IFERROR(VLOOKUP($Q288,Selection!$F:$G,2,false))</f>
        <v/>
      </c>
      <c r="Q288" s="50" t="str">
        <f>IF(AND($X288="change",$H288="EUR"),IF(AND($Z288="Crédit",$N288=$N289),$Q289,IF(AND($Z288="Débit",$N288=$N287),$Q287)),IF(OR(AND(OR($E288&lt;&gt;"",$L288=""),$M288&lt;&gt;0),$A288=""),IFERROR(VLOOKUP($E288,Selection!$E:$F,2,false)),IFERROR(VLOOKUP(SUBSTITUTE($I288,"-","",1),$K289:$Q1119,7,false),VLOOKUP($K288,$K289:$Q1119,7,false))))</f>
        <v/>
      </c>
      <c r="R288" s="49" t="str">
        <f t="shared" si="2"/>
        <v/>
      </c>
      <c r="S288" s="51" t="str">
        <f t="shared" si="3"/>
        <v/>
      </c>
      <c r="T288" s="52" t="str">
        <f t="shared" si="4"/>
        <v/>
      </c>
      <c r="U288" s="46" t="str">
        <f t="shared" si="5"/>
        <v/>
      </c>
      <c r="V288" s="53" t="str">
        <f>IFERROR(__xludf.DUMMYFUNCTION(" IF(Account!$F288&lt;&gt;"""", SPLIT(Account!$F288, "" ""), """")"),"")</f>
        <v/>
      </c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</row>
    <row r="289">
      <c r="A289" s="11"/>
      <c r="B289" s="11"/>
      <c r="C289" s="11"/>
      <c r="D289" s="11"/>
      <c r="E289" s="11"/>
      <c r="F289" s="12"/>
      <c r="G289" s="11"/>
      <c r="H289" s="11"/>
      <c r="I289" s="11"/>
      <c r="J289" s="11"/>
      <c r="K289" s="11"/>
      <c r="L289" s="45" t="str">
        <f t="shared" si="1"/>
        <v/>
      </c>
      <c r="M289" s="46" t="str">
        <f>IFERROR(__xludf.DUMMYFUNCTION("IF(Account!$F289&lt;&gt;"""", VALUE(REGEXREPLACE($I289, ""\,"", ""."")), """")"),"")</f>
        <v/>
      </c>
      <c r="N289" s="47" t="str">
        <f>IF(Account!$F289&lt;&gt;"", DATEVALUE(MID($A289,4,3) &amp; LEFT($A289,3) &amp; RIGHT($A289,4)) + TIMEVALUE($B289), "")</f>
        <v/>
      </c>
      <c r="O289" s="48" t="str">
        <f>IF(Account!$F289&lt;&gt;"", DATEVALUE(MID($A289,4,3) &amp; LEFT($A289,3) &amp; RIGHT($A289,4)), "")</f>
        <v/>
      </c>
      <c r="P289" s="49" t="str">
        <f>IFERROR(VLOOKUP($Q289,Selection!$F:$G,2,false))</f>
        <v/>
      </c>
      <c r="Q289" s="50" t="str">
        <f>IF(AND($X289="change",$H289="EUR"),IF(AND($Z289="Crédit",$N289=$N290),$Q290,IF(AND($Z289="Débit",$N289=$N288),$Q288)),IF(OR(AND(OR($E289&lt;&gt;"",$L289=""),$M289&lt;&gt;0),$A289=""),IFERROR(VLOOKUP($E289,Selection!$E:$F,2,false)),IFERROR(VLOOKUP(SUBSTITUTE($I289,"-","",1),$K290:$Q1119,7,false),VLOOKUP($K289,$K290:$Q1119,7,false))))</f>
        <v/>
      </c>
      <c r="R289" s="49" t="str">
        <f t="shared" si="2"/>
        <v/>
      </c>
      <c r="S289" s="51" t="str">
        <f t="shared" si="3"/>
        <v/>
      </c>
      <c r="T289" s="52" t="str">
        <f t="shared" si="4"/>
        <v/>
      </c>
      <c r="U289" s="46" t="str">
        <f t="shared" si="5"/>
        <v/>
      </c>
      <c r="V289" s="53" t="str">
        <f>IFERROR(__xludf.DUMMYFUNCTION(" IF(Account!$F289&lt;&gt;"""", SPLIT(Account!$F289, "" ""), """")"),"")</f>
        <v/>
      </c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</row>
    <row r="290">
      <c r="A290" s="11"/>
      <c r="B290" s="11"/>
      <c r="C290" s="11"/>
      <c r="D290" s="11"/>
      <c r="E290" s="11"/>
      <c r="F290" s="12"/>
      <c r="G290" s="11"/>
      <c r="H290" s="11"/>
      <c r="I290" s="11"/>
      <c r="J290" s="11"/>
      <c r="K290" s="11"/>
      <c r="L290" s="45" t="str">
        <f t="shared" si="1"/>
        <v/>
      </c>
      <c r="M290" s="46" t="str">
        <f>IFERROR(__xludf.DUMMYFUNCTION("IF(Account!$F290&lt;&gt;"""", VALUE(REGEXREPLACE($I290, ""\,"", ""."")), """")"),"")</f>
        <v/>
      </c>
      <c r="N290" s="47" t="str">
        <f>IF(Account!$F290&lt;&gt;"", DATEVALUE(MID($A290,4,3) &amp; LEFT($A290,3) &amp; RIGHT($A290,4)) + TIMEVALUE($B290), "")</f>
        <v/>
      </c>
      <c r="O290" s="48" t="str">
        <f>IF(Account!$F290&lt;&gt;"", DATEVALUE(MID($A290,4,3) &amp; LEFT($A290,3) &amp; RIGHT($A290,4)), "")</f>
        <v/>
      </c>
      <c r="P290" s="49" t="str">
        <f>IFERROR(VLOOKUP($Q290,Selection!$F:$G,2,false))</f>
        <v/>
      </c>
      <c r="Q290" s="50" t="str">
        <f>IF(AND($X290="change",$H290="EUR"),IF(AND($Z290="Crédit",$N290=$N291),$Q291,IF(AND($Z290="Débit",$N290=$N289),$Q289)),IF(OR(AND(OR($E290&lt;&gt;"",$L290=""),$M290&lt;&gt;0),$A290=""),IFERROR(VLOOKUP($E290,Selection!$E:$F,2,false)),IFERROR(VLOOKUP(SUBSTITUTE($I290,"-","",1),$K291:$Q1119,7,false),VLOOKUP($K290,$K291:$Q1119,7,false))))</f>
        <v/>
      </c>
      <c r="R290" s="49" t="str">
        <f t="shared" si="2"/>
        <v/>
      </c>
      <c r="S290" s="51" t="str">
        <f t="shared" si="3"/>
        <v/>
      </c>
      <c r="T290" s="52" t="str">
        <f t="shared" si="4"/>
        <v/>
      </c>
      <c r="U290" s="46" t="str">
        <f t="shared" si="5"/>
        <v/>
      </c>
      <c r="V290" s="53" t="str">
        <f>IFERROR(__xludf.DUMMYFUNCTION(" IF(Account!$F290&lt;&gt;"""", SPLIT(Account!$F290, "" ""), """")"),"")</f>
        <v/>
      </c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</row>
    <row r="291">
      <c r="A291" s="11"/>
      <c r="B291" s="11"/>
      <c r="C291" s="11"/>
      <c r="D291" s="11"/>
      <c r="E291" s="11"/>
      <c r="F291" s="12"/>
      <c r="G291" s="215"/>
      <c r="H291" s="11"/>
      <c r="I291" s="11"/>
      <c r="J291" s="11"/>
      <c r="K291" s="11"/>
      <c r="L291" s="45" t="str">
        <f t="shared" si="1"/>
        <v/>
      </c>
      <c r="M291" s="46" t="str">
        <f>IFERROR(__xludf.DUMMYFUNCTION("IF(Account!$F291&lt;&gt;"""", VALUE(REGEXREPLACE($I291, ""\,"", ""."")), """")"),"")</f>
        <v/>
      </c>
      <c r="N291" s="47" t="str">
        <f>IF(Account!$F291&lt;&gt;"", DATEVALUE(MID($A291,4,3) &amp; LEFT($A291,3) &amp; RIGHT($A291,4)) + TIMEVALUE($B291), "")</f>
        <v/>
      </c>
      <c r="O291" s="48" t="str">
        <f>IF(Account!$F291&lt;&gt;"", DATEVALUE(MID($A291,4,3) &amp; LEFT($A291,3) &amp; RIGHT($A291,4)), "")</f>
        <v/>
      </c>
      <c r="P291" s="49" t="str">
        <f>IFERROR(VLOOKUP($Q291,Selection!$F:$G,2,false))</f>
        <v/>
      </c>
      <c r="Q291" s="50" t="str">
        <f>IF(AND($X291="change",$H291="EUR"),IF(AND($Z291="Crédit",$N291=$N292),$Q292,IF(AND($Z291="Débit",$N291=$N290),$Q290)),IF(OR(AND(OR($E291&lt;&gt;"",$L291=""),$M291&lt;&gt;0),$A291=""),IFERROR(VLOOKUP($E291,Selection!$E:$F,2,false)),IFERROR(VLOOKUP(SUBSTITUTE($I291,"-","",1),$K292:$Q1119,7,false),VLOOKUP($K291,$K292:$Q1119,7,false))))</f>
        <v/>
      </c>
      <c r="R291" s="49" t="str">
        <f t="shared" si="2"/>
        <v/>
      </c>
      <c r="S291" s="51" t="str">
        <f t="shared" si="3"/>
        <v/>
      </c>
      <c r="T291" s="52" t="str">
        <f t="shared" si="4"/>
        <v/>
      </c>
      <c r="U291" s="46" t="str">
        <f t="shared" si="5"/>
        <v/>
      </c>
      <c r="V291" s="53" t="str">
        <f>IFERROR(__xludf.DUMMYFUNCTION(" IF(Account!$F291&lt;&gt;"""", SPLIT(Account!$F291, "" ""), """")"),"")</f>
        <v/>
      </c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</row>
    <row r="292">
      <c r="A292" s="11"/>
      <c r="B292" s="11"/>
      <c r="C292" s="11"/>
      <c r="D292" s="11"/>
      <c r="E292" s="11"/>
      <c r="F292" s="12"/>
      <c r="G292" s="11"/>
      <c r="H292" s="11"/>
      <c r="I292" s="11"/>
      <c r="J292" s="11"/>
      <c r="K292" s="11"/>
      <c r="L292" s="45" t="str">
        <f t="shared" si="1"/>
        <v/>
      </c>
      <c r="M292" s="46" t="str">
        <f>IFERROR(__xludf.DUMMYFUNCTION("IF(Account!$F292&lt;&gt;"""", VALUE(REGEXREPLACE($I292, ""\,"", ""."")), """")"),"")</f>
        <v/>
      </c>
      <c r="N292" s="47" t="str">
        <f>IF(Account!$F292&lt;&gt;"", DATEVALUE(MID($A292,4,3) &amp; LEFT($A292,3) &amp; RIGHT($A292,4)) + TIMEVALUE($B292), "")</f>
        <v/>
      </c>
      <c r="O292" s="48" t="str">
        <f>IF(Account!$F292&lt;&gt;"", DATEVALUE(MID($A292,4,3) &amp; LEFT($A292,3) &amp; RIGHT($A292,4)), "")</f>
        <v/>
      </c>
      <c r="P292" s="49" t="str">
        <f>IFERROR(VLOOKUP($Q292,Selection!$F:$G,2,false))</f>
        <v/>
      </c>
      <c r="Q292" s="50" t="str">
        <f>IF(AND($X292="change",$H292="EUR"),IF(AND($Z292="Crédit",$N292=$N293),$Q293,IF(AND($Z292="Débit",$N292=$N291),$Q291)),IF(OR(AND(OR($E292&lt;&gt;"",$L292=""),$M292&lt;&gt;0),$A292=""),IFERROR(VLOOKUP($E292,Selection!$E:$F,2,false)),IFERROR(VLOOKUP(SUBSTITUTE($I292,"-","",1),$K293:$Q1119,7,false),VLOOKUP($K292,$K293:$Q1119,7,false))))</f>
        <v/>
      </c>
      <c r="R292" s="49" t="str">
        <f t="shared" si="2"/>
        <v/>
      </c>
      <c r="S292" s="51" t="str">
        <f t="shared" si="3"/>
        <v/>
      </c>
      <c r="T292" s="52" t="str">
        <f t="shared" si="4"/>
        <v/>
      </c>
      <c r="U292" s="46" t="str">
        <f t="shared" si="5"/>
        <v/>
      </c>
      <c r="V292" s="53" t="str">
        <f>IFERROR(__xludf.DUMMYFUNCTION(" IF(Account!$F292&lt;&gt;"""", SPLIT(Account!$F292, "" ""), """")"),"")</f>
        <v/>
      </c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</row>
    <row r="293">
      <c r="A293" s="11"/>
      <c r="B293" s="11"/>
      <c r="C293" s="11"/>
      <c r="D293" s="11"/>
      <c r="E293" s="11"/>
      <c r="F293" s="12"/>
      <c r="G293" s="215"/>
      <c r="H293" s="11"/>
      <c r="I293" s="11"/>
      <c r="J293" s="11"/>
      <c r="K293" s="11"/>
      <c r="L293" s="45" t="str">
        <f t="shared" si="1"/>
        <v/>
      </c>
      <c r="M293" s="46" t="str">
        <f>IFERROR(__xludf.DUMMYFUNCTION("IF(Account!$F293&lt;&gt;"""", VALUE(REGEXREPLACE($I293, ""\,"", ""."")), """")"),"")</f>
        <v/>
      </c>
      <c r="N293" s="47" t="str">
        <f>IF(Account!$F293&lt;&gt;"", DATEVALUE(MID($A293,4,3) &amp; LEFT($A293,3) &amp; RIGHT($A293,4)) + TIMEVALUE($B293), "")</f>
        <v/>
      </c>
      <c r="O293" s="48" t="str">
        <f>IF(Account!$F293&lt;&gt;"", DATEVALUE(MID($A293,4,3) &amp; LEFT($A293,3) &amp; RIGHT($A293,4)), "")</f>
        <v/>
      </c>
      <c r="P293" s="49" t="str">
        <f>IFERROR(VLOOKUP($Q293,Selection!$F:$G,2,false))</f>
        <v/>
      </c>
      <c r="Q293" s="50" t="str">
        <f>IF(AND($X293="change",$H293="EUR"),IF(AND($Z293="Crédit",$N293=$N294),$Q294,IF(AND($Z293="Débit",$N293=$N292),$Q292)),IF(OR(AND(OR($E293&lt;&gt;"",$L293=""),$M293&lt;&gt;0),$A293=""),IFERROR(VLOOKUP($E293,Selection!$E:$F,2,false)),IFERROR(VLOOKUP(SUBSTITUTE($I293,"-","",1),$K294:$Q1119,7,false),VLOOKUP($K293,$K294:$Q1119,7,false))))</f>
        <v/>
      </c>
      <c r="R293" s="49" t="str">
        <f t="shared" si="2"/>
        <v/>
      </c>
      <c r="S293" s="51" t="str">
        <f t="shared" si="3"/>
        <v/>
      </c>
      <c r="T293" s="52" t="str">
        <f t="shared" si="4"/>
        <v/>
      </c>
      <c r="U293" s="46" t="str">
        <f t="shared" si="5"/>
        <v/>
      </c>
      <c r="V293" s="53" t="str">
        <f>IFERROR(__xludf.DUMMYFUNCTION(" IF(Account!$F293&lt;&gt;"""", SPLIT(Account!$F293, "" ""), """")"),"")</f>
        <v/>
      </c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</row>
    <row r="294">
      <c r="A294" s="11"/>
      <c r="B294" s="11"/>
      <c r="C294" s="11"/>
      <c r="D294" s="11"/>
      <c r="E294" s="11"/>
      <c r="F294" s="12"/>
      <c r="G294" s="11"/>
      <c r="H294" s="11"/>
      <c r="I294" s="11"/>
      <c r="J294" s="11"/>
      <c r="K294" s="11"/>
      <c r="L294" s="45" t="str">
        <f t="shared" si="1"/>
        <v/>
      </c>
      <c r="M294" s="46" t="str">
        <f>IFERROR(__xludf.DUMMYFUNCTION("IF(Account!$F294&lt;&gt;"""", VALUE(REGEXREPLACE($I294, ""\,"", ""."")), """")"),"")</f>
        <v/>
      </c>
      <c r="N294" s="47" t="str">
        <f>IF(Account!$F294&lt;&gt;"", DATEVALUE(MID($A294,4,3) &amp; LEFT($A294,3) &amp; RIGHT($A294,4)) + TIMEVALUE($B294), "")</f>
        <v/>
      </c>
      <c r="O294" s="48" t="str">
        <f>IF(Account!$F294&lt;&gt;"", DATEVALUE(MID($A294,4,3) &amp; LEFT($A294,3) &amp; RIGHT($A294,4)), "")</f>
        <v/>
      </c>
      <c r="P294" s="49" t="str">
        <f>IFERROR(VLOOKUP($Q294,Selection!$F:$G,2,false))</f>
        <v/>
      </c>
      <c r="Q294" s="50" t="str">
        <f>IF(AND($X294="change",$H294="EUR"),IF(AND($Z294="Crédit",$N294=$N295),$Q295,IF(AND($Z294="Débit",$N294=$N293),$Q293)),IF(OR(AND(OR($E294&lt;&gt;"",$L294=""),$M294&lt;&gt;0),$A294=""),IFERROR(VLOOKUP($E294,Selection!$E:$F,2,false)),IFERROR(VLOOKUP(SUBSTITUTE($I294,"-","",1),$K295:$Q1119,7,false),VLOOKUP($K294,$K295:$Q1119,7,false))))</f>
        <v/>
      </c>
      <c r="R294" s="49" t="str">
        <f t="shared" si="2"/>
        <v/>
      </c>
      <c r="S294" s="51" t="str">
        <f t="shared" si="3"/>
        <v/>
      </c>
      <c r="T294" s="52" t="str">
        <f t="shared" si="4"/>
        <v/>
      </c>
      <c r="U294" s="46" t="str">
        <f t="shared" si="5"/>
        <v/>
      </c>
      <c r="V294" s="53" t="str">
        <f>IFERROR(__xludf.DUMMYFUNCTION(" IF(Account!$F294&lt;&gt;"""", SPLIT(Account!$F294, "" ""), """")"),"")</f>
        <v/>
      </c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</row>
    <row r="295">
      <c r="A295" s="11"/>
      <c r="B295" s="11"/>
      <c r="C295" s="11"/>
      <c r="D295" s="11"/>
      <c r="E295" s="11"/>
      <c r="F295" s="12"/>
      <c r="G295" s="11"/>
      <c r="H295" s="11"/>
      <c r="I295" s="11"/>
      <c r="J295" s="11"/>
      <c r="K295" s="11"/>
      <c r="L295" s="45" t="str">
        <f t="shared" si="1"/>
        <v/>
      </c>
      <c r="M295" s="46" t="str">
        <f>IFERROR(__xludf.DUMMYFUNCTION("IF(Account!$F295&lt;&gt;"""", VALUE(REGEXREPLACE($I295, ""\,"", ""."")), """")"),"")</f>
        <v/>
      </c>
      <c r="N295" s="47" t="str">
        <f>IF(Account!$F295&lt;&gt;"", DATEVALUE(MID($A295,4,3) &amp; LEFT($A295,3) &amp; RIGHT($A295,4)) + TIMEVALUE($B295), "")</f>
        <v/>
      </c>
      <c r="O295" s="48" t="str">
        <f>IF(Account!$F295&lt;&gt;"", DATEVALUE(MID($A295,4,3) &amp; LEFT($A295,3) &amp; RIGHT($A295,4)), "")</f>
        <v/>
      </c>
      <c r="P295" s="49" t="str">
        <f>IFERROR(VLOOKUP($Q295,Selection!$F:$G,2,false))</f>
        <v/>
      </c>
      <c r="Q295" s="50" t="str">
        <f>IF(AND($X295="change",$H295="EUR"),IF(AND($Z295="Crédit",$N295=$N296),$Q296,IF(AND($Z295="Débit",$N295=$N294),$Q294)),IF(OR(AND(OR($E295&lt;&gt;"",$L295=""),$M295&lt;&gt;0),$A295=""),IFERROR(VLOOKUP($E295,Selection!$E:$F,2,false)),IFERROR(VLOOKUP(SUBSTITUTE($I295,"-","",1),$K296:$Q1119,7,false),VLOOKUP($K295,$K296:$Q1119,7,false))))</f>
        <v/>
      </c>
      <c r="R295" s="49" t="str">
        <f t="shared" si="2"/>
        <v/>
      </c>
      <c r="S295" s="51" t="str">
        <f t="shared" si="3"/>
        <v/>
      </c>
      <c r="T295" s="52" t="str">
        <f t="shared" si="4"/>
        <v/>
      </c>
      <c r="U295" s="46" t="str">
        <f t="shared" si="5"/>
        <v/>
      </c>
      <c r="V295" s="53" t="str">
        <f>IFERROR(__xludf.DUMMYFUNCTION(" IF(Account!$F295&lt;&gt;"""", SPLIT(Account!$F295, "" ""), """")"),"")</f>
        <v/>
      </c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</row>
    <row r="296">
      <c r="A296" s="11"/>
      <c r="B296" s="11"/>
      <c r="C296" s="11"/>
      <c r="D296" s="11"/>
      <c r="E296" s="11"/>
      <c r="F296" s="12"/>
      <c r="G296" s="11"/>
      <c r="H296" s="11"/>
      <c r="I296" s="11"/>
      <c r="J296" s="11"/>
      <c r="K296" s="11"/>
      <c r="L296" s="45" t="str">
        <f t="shared" si="1"/>
        <v/>
      </c>
      <c r="M296" s="46" t="str">
        <f>IFERROR(__xludf.DUMMYFUNCTION("IF(Account!$F296&lt;&gt;"""", VALUE(REGEXREPLACE($I296, ""\,"", ""."")), """")"),"")</f>
        <v/>
      </c>
      <c r="N296" s="47" t="str">
        <f>IF(Account!$F296&lt;&gt;"", DATEVALUE(MID($A296,4,3) &amp; LEFT($A296,3) &amp; RIGHT($A296,4)) + TIMEVALUE($B296), "")</f>
        <v/>
      </c>
      <c r="O296" s="48" t="str">
        <f>IF(Account!$F296&lt;&gt;"", DATEVALUE(MID($A296,4,3) &amp; LEFT($A296,3) &amp; RIGHT($A296,4)), "")</f>
        <v/>
      </c>
      <c r="P296" s="49" t="str">
        <f>IFERROR(VLOOKUP($Q296,Selection!$F:$G,2,false))</f>
        <v/>
      </c>
      <c r="Q296" s="50" t="str">
        <f>IF(AND($X296="change",$H296="EUR"),IF(AND($Z296="Crédit",$N296=$N297),$Q297,IF(AND($Z296="Débit",$N296=$N295),$Q295)),IF(OR(AND(OR($E296&lt;&gt;"",$L296=""),$M296&lt;&gt;0),$A296=""),IFERROR(VLOOKUP($E296,Selection!$E:$F,2,false)),IFERROR(VLOOKUP(SUBSTITUTE($I296,"-","",1),$K297:$Q1119,7,false),VLOOKUP($K296,$K297:$Q1119,7,false))))</f>
        <v/>
      </c>
      <c r="R296" s="49" t="str">
        <f t="shared" si="2"/>
        <v/>
      </c>
      <c r="S296" s="51" t="str">
        <f t="shared" si="3"/>
        <v/>
      </c>
      <c r="T296" s="52" t="str">
        <f t="shared" si="4"/>
        <v/>
      </c>
      <c r="U296" s="46" t="str">
        <f t="shared" si="5"/>
        <v/>
      </c>
      <c r="V296" s="53" t="str">
        <f>IFERROR(__xludf.DUMMYFUNCTION(" IF(Account!$F296&lt;&gt;"""", SPLIT(Account!$F296, "" ""), """")"),"")</f>
        <v/>
      </c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</row>
    <row r="297">
      <c r="A297" s="11"/>
      <c r="B297" s="11"/>
      <c r="C297" s="11"/>
      <c r="D297" s="11"/>
      <c r="E297" s="11"/>
      <c r="F297" s="12"/>
      <c r="G297" s="215"/>
      <c r="H297" s="11"/>
      <c r="I297" s="11"/>
      <c r="J297" s="11"/>
      <c r="K297" s="11"/>
      <c r="L297" s="45" t="str">
        <f t="shared" si="1"/>
        <v/>
      </c>
      <c r="M297" s="46" t="str">
        <f>IFERROR(__xludf.DUMMYFUNCTION("IF(Account!$F297&lt;&gt;"""", VALUE(REGEXREPLACE($I297, ""\,"", ""."")), """")"),"")</f>
        <v/>
      </c>
      <c r="N297" s="47" t="str">
        <f>IF(Account!$F297&lt;&gt;"", DATEVALUE(MID($A297,4,3) &amp; LEFT($A297,3) &amp; RIGHT($A297,4)) + TIMEVALUE($B297), "")</f>
        <v/>
      </c>
      <c r="O297" s="48" t="str">
        <f>IF(Account!$F297&lt;&gt;"", DATEVALUE(MID($A297,4,3) &amp; LEFT($A297,3) &amp; RIGHT($A297,4)), "")</f>
        <v/>
      </c>
      <c r="P297" s="49" t="str">
        <f>IFERROR(VLOOKUP($Q297,Selection!$F:$G,2,false))</f>
        <v/>
      </c>
      <c r="Q297" s="50" t="str">
        <f>IF(AND($X297="change",$H297="EUR"),IF(AND($Z297="Crédit",$N297=$N298),$Q298,IF(AND($Z297="Débit",$N297=$N296),$Q296)),IF(OR(AND(OR($E297&lt;&gt;"",$L297=""),$M297&lt;&gt;0),$A297=""),IFERROR(VLOOKUP($E297,Selection!$E:$F,2,false)),IFERROR(VLOOKUP(SUBSTITUTE($I297,"-","",1),$K298:$Q1119,7,false),VLOOKUP($K297,$K298:$Q1119,7,false))))</f>
        <v/>
      </c>
      <c r="R297" s="49" t="str">
        <f t="shared" si="2"/>
        <v/>
      </c>
      <c r="S297" s="51" t="str">
        <f t="shared" si="3"/>
        <v/>
      </c>
      <c r="T297" s="52" t="str">
        <f t="shared" si="4"/>
        <v/>
      </c>
      <c r="U297" s="46" t="str">
        <f t="shared" si="5"/>
        <v/>
      </c>
      <c r="V297" s="53" t="str">
        <f>IFERROR(__xludf.DUMMYFUNCTION(" IF(Account!$F297&lt;&gt;"""", SPLIT(Account!$F297, "" ""), """")"),"")</f>
        <v/>
      </c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</row>
    <row r="298">
      <c r="A298" s="11"/>
      <c r="B298" s="11"/>
      <c r="C298" s="11"/>
      <c r="D298" s="11"/>
      <c r="E298" s="11"/>
      <c r="F298" s="12"/>
      <c r="G298" s="11"/>
      <c r="H298" s="11"/>
      <c r="I298" s="11"/>
      <c r="J298" s="11"/>
      <c r="K298" s="11"/>
      <c r="L298" s="45" t="str">
        <f t="shared" si="1"/>
        <v/>
      </c>
      <c r="M298" s="46" t="str">
        <f>IFERROR(__xludf.DUMMYFUNCTION("IF(Account!$F298&lt;&gt;"""", VALUE(REGEXREPLACE($I298, ""\,"", ""."")), """")"),"")</f>
        <v/>
      </c>
      <c r="N298" s="47" t="str">
        <f>IF(Account!$F298&lt;&gt;"", DATEVALUE(MID($A298,4,3) &amp; LEFT($A298,3) &amp; RIGHT($A298,4)) + TIMEVALUE($B298), "")</f>
        <v/>
      </c>
      <c r="O298" s="48" t="str">
        <f>IF(Account!$F298&lt;&gt;"", DATEVALUE(MID($A298,4,3) &amp; LEFT($A298,3) &amp; RIGHT($A298,4)), "")</f>
        <v/>
      </c>
      <c r="P298" s="49" t="str">
        <f>IFERROR(VLOOKUP($Q298,Selection!$F:$G,2,false))</f>
        <v/>
      </c>
      <c r="Q298" s="50" t="str">
        <f>IF(AND($X298="change",$H298="EUR"),IF(AND($Z298="Crédit",$N298=$N299),$Q299,IF(AND($Z298="Débit",$N298=$N297),$Q297)),IF(OR(AND(OR($E298&lt;&gt;"",$L298=""),$M298&lt;&gt;0),$A298=""),IFERROR(VLOOKUP($E298,Selection!$E:$F,2,false)),IFERROR(VLOOKUP(SUBSTITUTE($I298,"-","",1),$K299:$Q1119,7,false),VLOOKUP($K298,$K299:$Q1119,7,false))))</f>
        <v/>
      </c>
      <c r="R298" s="49" t="str">
        <f t="shared" si="2"/>
        <v/>
      </c>
      <c r="S298" s="51" t="str">
        <f t="shared" si="3"/>
        <v/>
      </c>
      <c r="T298" s="52" t="str">
        <f t="shared" si="4"/>
        <v/>
      </c>
      <c r="U298" s="46" t="str">
        <f t="shared" si="5"/>
        <v/>
      </c>
      <c r="V298" s="53" t="str">
        <f>IFERROR(__xludf.DUMMYFUNCTION(" IF(Account!$F298&lt;&gt;"""", SPLIT(Account!$F298, "" ""), """")"),"")</f>
        <v/>
      </c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</row>
    <row r="299">
      <c r="A299" s="11"/>
      <c r="B299" s="11"/>
      <c r="C299" s="11"/>
      <c r="D299" s="11"/>
      <c r="E299" s="11"/>
      <c r="F299" s="12"/>
      <c r="G299" s="215"/>
      <c r="H299" s="11"/>
      <c r="I299" s="11"/>
      <c r="J299" s="11"/>
      <c r="K299" s="11"/>
      <c r="L299" s="45" t="str">
        <f t="shared" si="1"/>
        <v/>
      </c>
      <c r="M299" s="46" t="str">
        <f>IFERROR(__xludf.DUMMYFUNCTION("IF(Account!$F299&lt;&gt;"""", VALUE(REGEXREPLACE($I299, ""\,"", ""."")), """")"),"")</f>
        <v/>
      </c>
      <c r="N299" s="47" t="str">
        <f>IF(Account!$F299&lt;&gt;"", DATEVALUE(MID($A299,4,3) &amp; LEFT($A299,3) &amp; RIGHT($A299,4)) + TIMEVALUE($B299), "")</f>
        <v/>
      </c>
      <c r="O299" s="48" t="str">
        <f>IF(Account!$F299&lt;&gt;"", DATEVALUE(MID($A299,4,3) &amp; LEFT($A299,3) &amp; RIGHT($A299,4)), "")</f>
        <v/>
      </c>
      <c r="P299" s="49" t="str">
        <f>IFERROR(VLOOKUP($Q299,Selection!$F:$G,2,false))</f>
        <v/>
      </c>
      <c r="Q299" s="50" t="str">
        <f>IF(AND($X299="change",$H299="EUR"),IF(AND($Z299="Crédit",$N299=$N300),$Q300,IF(AND($Z299="Débit",$N299=$N298),$Q298)),IF(OR(AND(OR($E299&lt;&gt;"",$L299=""),$M299&lt;&gt;0),$A299=""),IFERROR(VLOOKUP($E299,Selection!$E:$F,2,false)),IFERROR(VLOOKUP(SUBSTITUTE($I299,"-","",1),$K300:$Q1119,7,false),VLOOKUP($K299,$K300:$Q1119,7,false))))</f>
        <v/>
      </c>
      <c r="R299" s="49" t="str">
        <f t="shared" si="2"/>
        <v/>
      </c>
      <c r="S299" s="51" t="str">
        <f t="shared" si="3"/>
        <v/>
      </c>
      <c r="T299" s="52" t="str">
        <f t="shared" si="4"/>
        <v/>
      </c>
      <c r="U299" s="46" t="str">
        <f t="shared" si="5"/>
        <v/>
      </c>
      <c r="V299" s="53" t="str">
        <f>IFERROR(__xludf.DUMMYFUNCTION(" IF(Account!$F299&lt;&gt;"""", SPLIT(Account!$F299, "" ""), """")"),"")</f>
        <v/>
      </c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</row>
    <row r="300">
      <c r="A300" s="11"/>
      <c r="B300" s="11"/>
      <c r="C300" s="11"/>
      <c r="D300" s="11"/>
      <c r="E300" s="11"/>
      <c r="F300" s="12"/>
      <c r="G300" s="11"/>
      <c r="H300" s="11"/>
      <c r="I300" s="11"/>
      <c r="J300" s="11"/>
      <c r="K300" s="11"/>
      <c r="L300" s="45" t="str">
        <f t="shared" si="1"/>
        <v/>
      </c>
      <c r="M300" s="46" t="str">
        <f>IFERROR(__xludf.DUMMYFUNCTION("IF(Account!$F300&lt;&gt;"""", VALUE(REGEXREPLACE($I300, ""\,"", ""."")), """")"),"")</f>
        <v/>
      </c>
      <c r="N300" s="47" t="str">
        <f>IF(Account!$F300&lt;&gt;"", DATEVALUE(MID($A300,4,3) &amp; LEFT($A300,3) &amp; RIGHT($A300,4)) + TIMEVALUE($B300), "")</f>
        <v/>
      </c>
      <c r="O300" s="48" t="str">
        <f>IF(Account!$F300&lt;&gt;"", DATEVALUE(MID($A300,4,3) &amp; LEFT($A300,3) &amp; RIGHT($A300,4)), "")</f>
        <v/>
      </c>
      <c r="P300" s="49" t="str">
        <f>IFERROR(VLOOKUP($Q300,Selection!$F:$G,2,false))</f>
        <v/>
      </c>
      <c r="Q300" s="50" t="str">
        <f>IF(AND($X300="change",$H300="EUR"),IF(AND($Z300="Crédit",$N300=$N301),$Q301,IF(AND($Z300="Débit",$N300=$N299),$Q299)),IF(OR(AND(OR($E300&lt;&gt;"",$L300=""),$M300&lt;&gt;0),$A300=""),IFERROR(VLOOKUP($E300,Selection!$E:$F,2,false)),IFERROR(VLOOKUP(SUBSTITUTE($I300,"-","",1),$K301:$Q1119,7,false),VLOOKUP($K300,$K301:$Q1119,7,false))))</f>
        <v/>
      </c>
      <c r="R300" s="49" t="str">
        <f t="shared" si="2"/>
        <v/>
      </c>
      <c r="S300" s="51" t="str">
        <f t="shared" si="3"/>
        <v/>
      </c>
      <c r="T300" s="52" t="str">
        <f t="shared" si="4"/>
        <v/>
      </c>
      <c r="U300" s="46" t="str">
        <f t="shared" si="5"/>
        <v/>
      </c>
      <c r="V300" s="53" t="str">
        <f>IFERROR(__xludf.DUMMYFUNCTION(" IF(Account!$F300&lt;&gt;"""", SPLIT(Account!$F300, "" ""), """")"),"")</f>
        <v/>
      </c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</row>
    <row r="301">
      <c r="A301" s="11"/>
      <c r="B301" s="11"/>
      <c r="C301" s="11"/>
      <c r="D301" s="11"/>
      <c r="E301" s="11"/>
      <c r="F301" s="12"/>
      <c r="G301" s="215"/>
      <c r="H301" s="11"/>
      <c r="I301" s="11"/>
      <c r="J301" s="11"/>
      <c r="K301" s="11"/>
      <c r="L301" s="45" t="str">
        <f t="shared" si="1"/>
        <v/>
      </c>
      <c r="M301" s="46" t="str">
        <f>IFERROR(__xludf.DUMMYFUNCTION("IF(Account!$F301&lt;&gt;"""", VALUE(REGEXREPLACE($I301, ""\,"", ""."")), """")"),"")</f>
        <v/>
      </c>
      <c r="N301" s="47" t="str">
        <f>IF(Account!$F301&lt;&gt;"", DATEVALUE(MID($A301,4,3) &amp; LEFT($A301,3) &amp; RIGHT($A301,4)) + TIMEVALUE($B301), "")</f>
        <v/>
      </c>
      <c r="O301" s="48" t="str">
        <f>IF(Account!$F301&lt;&gt;"", DATEVALUE(MID($A301,4,3) &amp; LEFT($A301,3) &amp; RIGHT($A301,4)), "")</f>
        <v/>
      </c>
      <c r="P301" s="49" t="str">
        <f>IFERROR(VLOOKUP($Q301,Selection!$F:$G,2,false))</f>
        <v/>
      </c>
      <c r="Q301" s="50" t="str">
        <f>IF(AND($X301="change",$H301="EUR"),IF(AND($Z301="Crédit",$N301=$N302),$Q302,IF(AND($Z301="Débit",$N301=$N300),$Q300)),IF(OR(AND(OR($E301&lt;&gt;"",$L301=""),$M301&lt;&gt;0),$A301=""),IFERROR(VLOOKUP($E301,Selection!$E:$F,2,false)),IFERROR(VLOOKUP(SUBSTITUTE($I301,"-","",1),$K302:$Q1119,7,false),VLOOKUP($K301,$K302:$Q1119,7,false))))</f>
        <v/>
      </c>
      <c r="R301" s="49" t="str">
        <f t="shared" si="2"/>
        <v/>
      </c>
      <c r="S301" s="51" t="str">
        <f t="shared" si="3"/>
        <v/>
      </c>
      <c r="T301" s="52" t="str">
        <f t="shared" si="4"/>
        <v/>
      </c>
      <c r="U301" s="46" t="str">
        <f t="shared" si="5"/>
        <v/>
      </c>
      <c r="V301" s="53" t="str">
        <f>IFERROR(__xludf.DUMMYFUNCTION(" IF(Account!$F301&lt;&gt;"""", SPLIT(Account!$F301, "" ""), """")"),"")</f>
        <v/>
      </c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</row>
    <row r="302">
      <c r="A302" s="11"/>
      <c r="B302" s="11"/>
      <c r="C302" s="11"/>
      <c r="D302" s="11"/>
      <c r="E302" s="11"/>
      <c r="F302" s="12"/>
      <c r="G302" s="11"/>
      <c r="H302" s="11"/>
      <c r="I302" s="11"/>
      <c r="J302" s="11"/>
      <c r="K302" s="11"/>
      <c r="L302" s="45" t="str">
        <f t="shared" si="1"/>
        <v/>
      </c>
      <c r="M302" s="46" t="str">
        <f>IFERROR(__xludf.DUMMYFUNCTION("IF(Account!$F302&lt;&gt;"""", VALUE(REGEXREPLACE($I302, ""\,"", ""."")), """")"),"")</f>
        <v/>
      </c>
      <c r="N302" s="47" t="str">
        <f>IF(Account!$F302&lt;&gt;"", DATEVALUE(MID($A302,4,3) &amp; LEFT($A302,3) &amp; RIGHT($A302,4)) + TIMEVALUE($B302), "")</f>
        <v/>
      </c>
      <c r="O302" s="48" t="str">
        <f>IF(Account!$F302&lt;&gt;"", DATEVALUE(MID($A302,4,3) &amp; LEFT($A302,3) &amp; RIGHT($A302,4)), "")</f>
        <v/>
      </c>
      <c r="P302" s="49" t="str">
        <f>IFERROR(VLOOKUP($Q302,Selection!$F:$G,2,false))</f>
        <v/>
      </c>
      <c r="Q302" s="50" t="str">
        <f>IF(AND($X302="change",$H302="EUR"),IF(AND($Z302="Crédit",$N302=$N303),$Q303,IF(AND($Z302="Débit",$N302=$N301),$Q301)),IF(OR(AND(OR($E302&lt;&gt;"",$L302=""),$M302&lt;&gt;0),$A302=""),IFERROR(VLOOKUP($E302,Selection!$E:$F,2,false)),IFERROR(VLOOKUP(SUBSTITUTE($I302,"-","",1),$K303:$Q1119,7,false),VLOOKUP($K302,$K303:$Q1119,7,false))))</f>
        <v/>
      </c>
      <c r="R302" s="49" t="str">
        <f t="shared" si="2"/>
        <v/>
      </c>
      <c r="S302" s="51" t="str">
        <f t="shared" si="3"/>
        <v/>
      </c>
      <c r="T302" s="52" t="str">
        <f t="shared" si="4"/>
        <v/>
      </c>
      <c r="U302" s="46" t="str">
        <f t="shared" si="5"/>
        <v/>
      </c>
      <c r="V302" s="53" t="str">
        <f>IFERROR(__xludf.DUMMYFUNCTION(" IF(Account!$F302&lt;&gt;"""", SPLIT(Account!$F302, "" ""), """")"),"")</f>
        <v/>
      </c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</row>
    <row r="303">
      <c r="A303" s="11"/>
      <c r="B303" s="11"/>
      <c r="C303" s="11"/>
      <c r="D303" s="11"/>
      <c r="E303" s="11"/>
      <c r="F303" s="12"/>
      <c r="G303" s="215"/>
      <c r="H303" s="11"/>
      <c r="I303" s="11"/>
      <c r="J303" s="11"/>
      <c r="K303" s="11"/>
      <c r="L303" s="45" t="str">
        <f t="shared" si="1"/>
        <v/>
      </c>
      <c r="M303" s="46" t="str">
        <f>IFERROR(__xludf.DUMMYFUNCTION("IF(Account!$F303&lt;&gt;"""", VALUE(REGEXREPLACE($I303, ""\,"", ""."")), """")"),"")</f>
        <v/>
      </c>
      <c r="N303" s="47" t="str">
        <f>IF(Account!$F303&lt;&gt;"", DATEVALUE(MID($A303,4,3) &amp; LEFT($A303,3) &amp; RIGHT($A303,4)) + TIMEVALUE($B303), "")</f>
        <v/>
      </c>
      <c r="O303" s="48" t="str">
        <f>IF(Account!$F303&lt;&gt;"", DATEVALUE(MID($A303,4,3) &amp; LEFT($A303,3) &amp; RIGHT($A303,4)), "")</f>
        <v/>
      </c>
      <c r="P303" s="49" t="str">
        <f>IFERROR(VLOOKUP($Q303,Selection!$F:$G,2,false))</f>
        <v/>
      </c>
      <c r="Q303" s="50" t="str">
        <f>IF(AND($X303="change",$H303="EUR"),IF(AND($Z303="Crédit",$N303=$N304),$Q304,IF(AND($Z303="Débit",$N303=$N302),$Q302)),IF(OR(AND(OR($E303&lt;&gt;"",$L303=""),$M303&lt;&gt;0),$A303=""),IFERROR(VLOOKUP($E303,Selection!$E:$F,2,false)),IFERROR(VLOOKUP(SUBSTITUTE($I303,"-","",1),$K304:$Q1119,7,false),VLOOKUP($K303,$K304:$Q1119,7,false))))</f>
        <v/>
      </c>
      <c r="R303" s="49" t="str">
        <f t="shared" si="2"/>
        <v/>
      </c>
      <c r="S303" s="51" t="str">
        <f t="shared" si="3"/>
        <v/>
      </c>
      <c r="T303" s="52" t="str">
        <f t="shared" si="4"/>
        <v/>
      </c>
      <c r="U303" s="46" t="str">
        <f t="shared" si="5"/>
        <v/>
      </c>
      <c r="V303" s="53" t="str">
        <f>IFERROR(__xludf.DUMMYFUNCTION(" IF(Account!$F303&lt;&gt;"""", SPLIT(Account!$F303, "" ""), """")"),"")</f>
        <v/>
      </c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</row>
    <row r="304">
      <c r="A304" s="11"/>
      <c r="B304" s="11"/>
      <c r="C304" s="11"/>
      <c r="D304" s="11"/>
      <c r="E304" s="11"/>
      <c r="F304" s="12"/>
      <c r="G304" s="11"/>
      <c r="H304" s="11"/>
      <c r="I304" s="11"/>
      <c r="J304" s="11"/>
      <c r="K304" s="11"/>
      <c r="L304" s="45" t="str">
        <f t="shared" si="1"/>
        <v/>
      </c>
      <c r="M304" s="46" t="str">
        <f>IFERROR(__xludf.DUMMYFUNCTION("IF(Account!$F304&lt;&gt;"""", VALUE(REGEXREPLACE($I304, ""\,"", ""."")), """")"),"")</f>
        <v/>
      </c>
      <c r="N304" s="47" t="str">
        <f>IF(Account!$F304&lt;&gt;"", DATEVALUE(MID($A304,4,3) &amp; LEFT($A304,3) &amp; RIGHT($A304,4)) + TIMEVALUE($B304), "")</f>
        <v/>
      </c>
      <c r="O304" s="48" t="str">
        <f>IF(Account!$F304&lt;&gt;"", DATEVALUE(MID($A304,4,3) &amp; LEFT($A304,3) &amp; RIGHT($A304,4)), "")</f>
        <v/>
      </c>
      <c r="P304" s="49" t="str">
        <f>IFERROR(VLOOKUP($Q304,Selection!$F:$G,2,false))</f>
        <v/>
      </c>
      <c r="Q304" s="50" t="str">
        <f>IF(AND($X304="change",$H304="EUR"),IF(AND($Z304="Crédit",$N304=$N305),$Q305,IF(AND($Z304="Débit",$N304=$N303),$Q303)),IF(OR(AND(OR($E304&lt;&gt;"",$L304=""),$M304&lt;&gt;0),$A304=""),IFERROR(VLOOKUP($E304,Selection!$E:$F,2,false)),IFERROR(VLOOKUP(SUBSTITUTE($I304,"-","",1),$K305:$Q1119,7,false),VLOOKUP($K304,$K305:$Q1119,7,false))))</f>
        <v/>
      </c>
      <c r="R304" s="49" t="str">
        <f t="shared" si="2"/>
        <v/>
      </c>
      <c r="S304" s="51" t="str">
        <f t="shared" si="3"/>
        <v/>
      </c>
      <c r="T304" s="52" t="str">
        <f t="shared" si="4"/>
        <v/>
      </c>
      <c r="U304" s="46" t="str">
        <f t="shared" si="5"/>
        <v/>
      </c>
      <c r="V304" s="53" t="str">
        <f>IFERROR(__xludf.DUMMYFUNCTION(" IF(Account!$F304&lt;&gt;"""", SPLIT(Account!$F304, "" ""), """")"),"")</f>
        <v/>
      </c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</row>
    <row r="305">
      <c r="A305" s="11"/>
      <c r="B305" s="11"/>
      <c r="C305" s="11"/>
      <c r="D305" s="11"/>
      <c r="E305" s="11"/>
      <c r="F305" s="12"/>
      <c r="G305" s="215"/>
      <c r="H305" s="11"/>
      <c r="I305" s="11"/>
      <c r="J305" s="11"/>
      <c r="K305" s="11"/>
      <c r="L305" s="45" t="str">
        <f t="shared" si="1"/>
        <v/>
      </c>
      <c r="M305" s="46" t="str">
        <f>IFERROR(__xludf.DUMMYFUNCTION("IF(Account!$F305&lt;&gt;"""", VALUE(REGEXREPLACE($I305, ""\,"", ""."")), """")"),"")</f>
        <v/>
      </c>
      <c r="N305" s="47" t="str">
        <f>IF(Account!$F305&lt;&gt;"", DATEVALUE(MID($A305,4,3) &amp; LEFT($A305,3) &amp; RIGHT($A305,4)) + TIMEVALUE($B305), "")</f>
        <v/>
      </c>
      <c r="O305" s="48" t="str">
        <f>IF(Account!$F305&lt;&gt;"", DATEVALUE(MID($A305,4,3) &amp; LEFT($A305,3) &amp; RIGHT($A305,4)), "")</f>
        <v/>
      </c>
      <c r="P305" s="49" t="str">
        <f>IFERROR(VLOOKUP($Q305,Selection!$F:$G,2,false))</f>
        <v/>
      </c>
      <c r="Q305" s="50" t="str">
        <f>IF(AND($X305="change",$H305="EUR"),IF(AND($Z305="Crédit",$N305=$N306),$Q306,IF(AND($Z305="Débit",$N305=$N304),$Q304)),IF(OR(AND(OR($E305&lt;&gt;"",$L305=""),$M305&lt;&gt;0),$A305=""),IFERROR(VLOOKUP($E305,Selection!$E:$F,2,false)),IFERROR(VLOOKUP(SUBSTITUTE($I305,"-","",1),$K306:$Q1119,7,false),VLOOKUP($K305,$K306:$Q1119,7,false))))</f>
        <v/>
      </c>
      <c r="R305" s="49" t="str">
        <f t="shared" si="2"/>
        <v/>
      </c>
      <c r="S305" s="51" t="str">
        <f t="shared" si="3"/>
        <v/>
      </c>
      <c r="T305" s="52" t="str">
        <f t="shared" si="4"/>
        <v/>
      </c>
      <c r="U305" s="46" t="str">
        <f t="shared" si="5"/>
        <v/>
      </c>
      <c r="V305" s="53" t="str">
        <f>IFERROR(__xludf.DUMMYFUNCTION(" IF(Account!$F305&lt;&gt;"""", SPLIT(Account!$F305, "" ""), """")"),"")</f>
        <v/>
      </c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</row>
    <row r="306">
      <c r="A306" s="11"/>
      <c r="B306" s="11"/>
      <c r="C306" s="11"/>
      <c r="D306" s="11"/>
      <c r="E306" s="11"/>
      <c r="F306" s="12"/>
      <c r="G306" s="11"/>
      <c r="H306" s="11"/>
      <c r="I306" s="11"/>
      <c r="J306" s="11"/>
      <c r="K306" s="11"/>
      <c r="L306" s="45" t="str">
        <f t="shared" si="1"/>
        <v/>
      </c>
      <c r="M306" s="46" t="str">
        <f>IFERROR(__xludf.DUMMYFUNCTION("IF(Account!$F306&lt;&gt;"""", VALUE(REGEXREPLACE($I306, ""\,"", ""."")), """")"),"")</f>
        <v/>
      </c>
      <c r="N306" s="47" t="str">
        <f>IF(Account!$F306&lt;&gt;"", DATEVALUE(MID($A306,4,3) &amp; LEFT($A306,3) &amp; RIGHT($A306,4)) + TIMEVALUE($B306), "")</f>
        <v/>
      </c>
      <c r="O306" s="48" t="str">
        <f>IF(Account!$F306&lt;&gt;"", DATEVALUE(MID($A306,4,3) &amp; LEFT($A306,3) &amp; RIGHT($A306,4)), "")</f>
        <v/>
      </c>
      <c r="P306" s="49" t="str">
        <f>IFERROR(VLOOKUP($Q306,Selection!$F:$G,2,false))</f>
        <v/>
      </c>
      <c r="Q306" s="50" t="str">
        <f>IF(AND($X306="change",$H306="EUR"),IF(AND($Z306="Crédit",$N306=$N307),$Q307,IF(AND($Z306="Débit",$N306=$N305),$Q305)),IF(OR(AND(OR($E306&lt;&gt;"",$L306=""),$M306&lt;&gt;0),$A306=""),IFERROR(VLOOKUP($E306,Selection!$E:$F,2,false)),IFERROR(VLOOKUP(SUBSTITUTE($I306,"-","",1),$K307:$Q1119,7,false),VLOOKUP($K306,$K307:$Q1119,7,false))))</f>
        <v/>
      </c>
      <c r="R306" s="49" t="str">
        <f t="shared" si="2"/>
        <v/>
      </c>
      <c r="S306" s="51" t="str">
        <f t="shared" si="3"/>
        <v/>
      </c>
      <c r="T306" s="52" t="str">
        <f t="shared" si="4"/>
        <v/>
      </c>
      <c r="U306" s="46" t="str">
        <f t="shared" si="5"/>
        <v/>
      </c>
      <c r="V306" s="53" t="str">
        <f>IFERROR(__xludf.DUMMYFUNCTION(" IF(Account!$F306&lt;&gt;"""", SPLIT(Account!$F306, "" ""), """")"),"")</f>
        <v/>
      </c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</row>
    <row r="307">
      <c r="A307" s="11"/>
      <c r="B307" s="11"/>
      <c r="C307" s="11"/>
      <c r="D307" s="11"/>
      <c r="E307" s="11"/>
      <c r="F307" s="12"/>
      <c r="G307" s="11"/>
      <c r="H307" s="11"/>
      <c r="I307" s="11"/>
      <c r="J307" s="11"/>
      <c r="K307" s="11"/>
      <c r="L307" s="45" t="str">
        <f t="shared" si="1"/>
        <v/>
      </c>
      <c r="M307" s="46" t="str">
        <f>IFERROR(__xludf.DUMMYFUNCTION("IF(Account!$F307&lt;&gt;"""", VALUE(REGEXREPLACE($I307, ""\,"", ""."")), """")"),"")</f>
        <v/>
      </c>
      <c r="N307" s="47" t="str">
        <f>IF(Account!$F307&lt;&gt;"", DATEVALUE(MID($A307,4,3) &amp; LEFT($A307,3) &amp; RIGHT($A307,4)) + TIMEVALUE($B307), "")</f>
        <v/>
      </c>
      <c r="O307" s="48" t="str">
        <f>IF(Account!$F307&lt;&gt;"", DATEVALUE(MID($A307,4,3) &amp; LEFT($A307,3) &amp; RIGHT($A307,4)), "")</f>
        <v/>
      </c>
      <c r="P307" s="49" t="str">
        <f>IFERROR(VLOOKUP($Q307,Selection!$F:$G,2,false))</f>
        <v/>
      </c>
      <c r="Q307" s="50" t="str">
        <f>IF(AND($X307="change",$H307="EUR"),IF(AND($Z307="Crédit",$N307=$N308),$Q308,IF(AND($Z307="Débit",$N307=$N306),$Q306)),IF(OR(AND(OR($E307&lt;&gt;"",$L307=""),$M307&lt;&gt;0),$A307=""),IFERROR(VLOOKUP($E307,Selection!$E:$F,2,false)),IFERROR(VLOOKUP(SUBSTITUTE($I307,"-","",1),$K308:$Q1119,7,false),VLOOKUP($K307,$K308:$Q1119,7,false))))</f>
        <v/>
      </c>
      <c r="R307" s="49" t="str">
        <f t="shared" si="2"/>
        <v/>
      </c>
      <c r="S307" s="51" t="str">
        <f t="shared" si="3"/>
        <v/>
      </c>
      <c r="T307" s="52" t="str">
        <f t="shared" si="4"/>
        <v/>
      </c>
      <c r="U307" s="46" t="str">
        <f t="shared" si="5"/>
        <v/>
      </c>
      <c r="V307" s="53" t="str">
        <f>IFERROR(__xludf.DUMMYFUNCTION(" IF(Account!$F307&lt;&gt;"""", SPLIT(Account!$F307, "" ""), """")"),"")</f>
        <v/>
      </c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</row>
    <row r="308">
      <c r="A308" s="11"/>
      <c r="B308" s="11"/>
      <c r="C308" s="11"/>
      <c r="D308" s="11"/>
      <c r="E308" s="11"/>
      <c r="F308" s="12"/>
      <c r="G308" s="11"/>
      <c r="H308" s="11"/>
      <c r="I308" s="11"/>
      <c r="J308" s="11"/>
      <c r="K308" s="11"/>
      <c r="L308" s="45" t="str">
        <f t="shared" si="1"/>
        <v/>
      </c>
      <c r="M308" s="46" t="str">
        <f>IFERROR(__xludf.DUMMYFUNCTION("IF(Account!$F308&lt;&gt;"""", VALUE(REGEXREPLACE($I308, ""\,"", ""."")), """")"),"")</f>
        <v/>
      </c>
      <c r="N308" s="47" t="str">
        <f>IF(Account!$F308&lt;&gt;"", DATEVALUE(MID($A308,4,3) &amp; LEFT($A308,3) &amp; RIGHT($A308,4)) + TIMEVALUE($B308), "")</f>
        <v/>
      </c>
      <c r="O308" s="48" t="str">
        <f>IF(Account!$F308&lt;&gt;"", DATEVALUE(MID($A308,4,3) &amp; LEFT($A308,3) &amp; RIGHT($A308,4)), "")</f>
        <v/>
      </c>
      <c r="P308" s="49" t="str">
        <f>IFERROR(VLOOKUP($Q308,Selection!$F:$G,2,false))</f>
        <v/>
      </c>
      <c r="Q308" s="50" t="str">
        <f>IF(AND($X308="change",$H308="EUR"),IF(AND($Z308="Crédit",$N308=$N309),$Q309,IF(AND($Z308="Débit",$N308=$N307),$Q307)),IF(OR(AND(OR($E308&lt;&gt;"",$L308=""),$M308&lt;&gt;0),$A308=""),IFERROR(VLOOKUP($E308,Selection!$E:$F,2,false)),IFERROR(VLOOKUP(SUBSTITUTE($I308,"-","",1),$K309:$Q1119,7,false),VLOOKUP($K308,$K309:$Q1119,7,false))))</f>
        <v/>
      </c>
      <c r="R308" s="49" t="str">
        <f t="shared" si="2"/>
        <v/>
      </c>
      <c r="S308" s="51" t="str">
        <f t="shared" si="3"/>
        <v/>
      </c>
      <c r="T308" s="52" t="str">
        <f t="shared" si="4"/>
        <v/>
      </c>
      <c r="U308" s="46" t="str">
        <f t="shared" si="5"/>
        <v/>
      </c>
      <c r="V308" s="53" t="str">
        <f>IFERROR(__xludf.DUMMYFUNCTION(" IF(Account!$F308&lt;&gt;"""", SPLIT(Account!$F308, "" ""), """")"),"")</f>
        <v/>
      </c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</row>
    <row r="309">
      <c r="A309" s="11"/>
      <c r="B309" s="11"/>
      <c r="C309" s="11"/>
      <c r="D309" s="11"/>
      <c r="E309" s="11"/>
      <c r="F309" s="12"/>
      <c r="G309" s="215"/>
      <c r="H309" s="11"/>
      <c r="I309" s="11"/>
      <c r="J309" s="11"/>
      <c r="K309" s="11"/>
      <c r="L309" s="45" t="str">
        <f t="shared" si="1"/>
        <v/>
      </c>
      <c r="M309" s="46" t="str">
        <f>IFERROR(__xludf.DUMMYFUNCTION("IF(Account!$F309&lt;&gt;"""", VALUE(REGEXREPLACE($I309, ""\,"", ""."")), """")"),"")</f>
        <v/>
      </c>
      <c r="N309" s="47" t="str">
        <f>IF(Account!$F309&lt;&gt;"", DATEVALUE(MID($A309,4,3) &amp; LEFT($A309,3) &amp; RIGHT($A309,4)) + TIMEVALUE($B309), "")</f>
        <v/>
      </c>
      <c r="O309" s="48" t="str">
        <f>IF(Account!$F309&lt;&gt;"", DATEVALUE(MID($A309,4,3) &amp; LEFT($A309,3) &amp; RIGHT($A309,4)), "")</f>
        <v/>
      </c>
      <c r="P309" s="49" t="str">
        <f>IFERROR(VLOOKUP($Q309,Selection!$F:$G,2,false))</f>
        <v/>
      </c>
      <c r="Q309" s="50" t="str">
        <f>IF(AND($X309="change",$H309="EUR"),IF(AND($Z309="Crédit",$N309=$N310),$Q310,IF(AND($Z309="Débit",$N309=$N308),$Q308)),IF(OR(AND(OR($E309&lt;&gt;"",$L309=""),$M309&lt;&gt;0),$A309=""),IFERROR(VLOOKUP($E309,Selection!$E:$F,2,false)),IFERROR(VLOOKUP(SUBSTITUTE($I309,"-","",1),$K310:$Q1119,7,false),VLOOKUP($K309,$K310:$Q1119,7,false))))</f>
        <v/>
      </c>
      <c r="R309" s="49" t="str">
        <f t="shared" si="2"/>
        <v/>
      </c>
      <c r="S309" s="51" t="str">
        <f t="shared" si="3"/>
        <v/>
      </c>
      <c r="T309" s="52" t="str">
        <f t="shared" si="4"/>
        <v/>
      </c>
      <c r="U309" s="46" t="str">
        <f t="shared" si="5"/>
        <v/>
      </c>
      <c r="V309" s="53" t="str">
        <f>IFERROR(__xludf.DUMMYFUNCTION(" IF(Account!$F309&lt;&gt;"""", SPLIT(Account!$F309, "" ""), """")"),"")</f>
        <v/>
      </c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</row>
    <row r="310">
      <c r="A310" s="11"/>
      <c r="B310" s="11"/>
      <c r="C310" s="11"/>
      <c r="D310" s="11"/>
      <c r="E310" s="11"/>
      <c r="F310" s="12"/>
      <c r="G310" s="215"/>
      <c r="H310" s="11"/>
      <c r="I310" s="11"/>
      <c r="J310" s="11"/>
      <c r="K310" s="11"/>
      <c r="L310" s="45" t="str">
        <f t="shared" si="1"/>
        <v/>
      </c>
      <c r="M310" s="46" t="str">
        <f>IFERROR(__xludf.DUMMYFUNCTION("IF(Account!$F310&lt;&gt;"""", VALUE(REGEXREPLACE($I310, ""\,"", ""."")), """")"),"")</f>
        <v/>
      </c>
      <c r="N310" s="47" t="str">
        <f>IF(Account!$F310&lt;&gt;"", DATEVALUE(MID($A310,4,3) &amp; LEFT($A310,3) &amp; RIGHT($A310,4)) + TIMEVALUE($B310), "")</f>
        <v/>
      </c>
      <c r="O310" s="48" t="str">
        <f>IF(Account!$F310&lt;&gt;"", DATEVALUE(MID($A310,4,3) &amp; LEFT($A310,3) &amp; RIGHT($A310,4)), "")</f>
        <v/>
      </c>
      <c r="P310" s="49" t="str">
        <f>IFERROR(VLOOKUP($Q310,Selection!$F:$G,2,false))</f>
        <v/>
      </c>
      <c r="Q310" s="50" t="str">
        <f>IF(AND($X310="change",$H310="EUR"),IF(AND($Z310="Crédit",$N310=$N311),$Q311,IF(AND($Z310="Débit",$N310=$N309),$Q309)),IF(OR(AND(OR($E310&lt;&gt;"",$L310=""),$M310&lt;&gt;0),$A310=""),IFERROR(VLOOKUP($E310,Selection!$E:$F,2,false)),IFERROR(VLOOKUP(SUBSTITUTE($I310,"-","",1),$K311:$Q1119,7,false),VLOOKUP($K310,$K311:$Q1119,7,false))))</f>
        <v/>
      </c>
      <c r="R310" s="49" t="str">
        <f t="shared" si="2"/>
        <v/>
      </c>
      <c r="S310" s="51" t="str">
        <f t="shared" si="3"/>
        <v/>
      </c>
      <c r="T310" s="52" t="str">
        <f t="shared" si="4"/>
        <v/>
      </c>
      <c r="U310" s="46" t="str">
        <f t="shared" si="5"/>
        <v/>
      </c>
      <c r="V310" s="53" t="str">
        <f>IFERROR(__xludf.DUMMYFUNCTION(" IF(Account!$F310&lt;&gt;"""", SPLIT(Account!$F310, "" ""), """")"),"")</f>
        <v/>
      </c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</row>
    <row r="311">
      <c r="A311" s="11"/>
      <c r="B311" s="11"/>
      <c r="C311" s="11"/>
      <c r="D311" s="11"/>
      <c r="E311" s="11"/>
      <c r="F311" s="12"/>
      <c r="G311" s="11"/>
      <c r="H311" s="11"/>
      <c r="I311" s="11"/>
      <c r="J311" s="11"/>
      <c r="K311" s="11"/>
      <c r="L311" s="45" t="str">
        <f t="shared" si="1"/>
        <v/>
      </c>
      <c r="M311" s="46" t="str">
        <f>IFERROR(__xludf.DUMMYFUNCTION("IF(Account!$F311&lt;&gt;"""", VALUE(REGEXREPLACE($I311, ""\,"", ""."")), """")"),"")</f>
        <v/>
      </c>
      <c r="N311" s="47" t="str">
        <f>IF(Account!$F311&lt;&gt;"", DATEVALUE(MID($A311,4,3) &amp; LEFT($A311,3) &amp; RIGHT($A311,4)) + TIMEVALUE($B311), "")</f>
        <v/>
      </c>
      <c r="O311" s="48" t="str">
        <f>IF(Account!$F311&lt;&gt;"", DATEVALUE(MID($A311,4,3) &amp; LEFT($A311,3) &amp; RIGHT($A311,4)), "")</f>
        <v/>
      </c>
      <c r="P311" s="49" t="str">
        <f>IFERROR(VLOOKUP($Q311,Selection!$F:$G,2,false))</f>
        <v/>
      </c>
      <c r="Q311" s="50" t="str">
        <f>IF(AND($X311="change",$H311="EUR"),IF(AND($Z311="Crédit",$N311=$N312),$Q312,IF(AND($Z311="Débit",$N311=$N310),$Q310)),IF(OR(AND(OR($E311&lt;&gt;"",$L311=""),$M311&lt;&gt;0),$A311=""),IFERROR(VLOOKUP($E311,Selection!$E:$F,2,false)),IFERROR(VLOOKUP(SUBSTITUTE($I311,"-","",1),$K312:$Q1119,7,false),VLOOKUP($K311,$K312:$Q1119,7,false))))</f>
        <v/>
      </c>
      <c r="R311" s="49" t="str">
        <f t="shared" si="2"/>
        <v/>
      </c>
      <c r="S311" s="51" t="str">
        <f t="shared" si="3"/>
        <v/>
      </c>
      <c r="T311" s="52" t="str">
        <f t="shared" si="4"/>
        <v/>
      </c>
      <c r="U311" s="46" t="str">
        <f t="shared" si="5"/>
        <v/>
      </c>
      <c r="V311" s="53" t="str">
        <f>IFERROR(__xludf.DUMMYFUNCTION(" IF(Account!$F311&lt;&gt;"""", SPLIT(Account!$F311, "" ""), """")"),"")</f>
        <v/>
      </c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</row>
    <row r="312">
      <c r="A312" s="11"/>
      <c r="B312" s="11"/>
      <c r="C312" s="11"/>
      <c r="D312" s="11"/>
      <c r="E312" s="11"/>
      <c r="F312" s="12"/>
      <c r="G312" s="215"/>
      <c r="H312" s="11"/>
      <c r="I312" s="11"/>
      <c r="J312" s="11"/>
      <c r="K312" s="11"/>
      <c r="L312" s="45" t="str">
        <f t="shared" si="1"/>
        <v/>
      </c>
      <c r="M312" s="46" t="str">
        <f>IFERROR(__xludf.DUMMYFUNCTION("IF(Account!$F312&lt;&gt;"""", VALUE(REGEXREPLACE($I312, ""\,"", ""."")), """")"),"")</f>
        <v/>
      </c>
      <c r="N312" s="47" t="str">
        <f>IF(Account!$F312&lt;&gt;"", DATEVALUE(MID($A312,4,3) &amp; LEFT($A312,3) &amp; RIGHT($A312,4)) + TIMEVALUE($B312), "")</f>
        <v/>
      </c>
      <c r="O312" s="48" t="str">
        <f>IF(Account!$F312&lt;&gt;"", DATEVALUE(MID($A312,4,3) &amp; LEFT($A312,3) &amp; RIGHT($A312,4)), "")</f>
        <v/>
      </c>
      <c r="P312" s="49" t="str">
        <f>IFERROR(VLOOKUP($Q312,Selection!$F:$G,2,false))</f>
        <v/>
      </c>
      <c r="Q312" s="50" t="str">
        <f>IF(AND($X312="change",$H312="EUR"),IF(AND($Z312="Crédit",$N312=$N313),$Q313,IF(AND($Z312="Débit",$N312=$N311),$Q311)),IF(OR(AND(OR($E312&lt;&gt;"",$L312=""),$M312&lt;&gt;0),$A312=""),IFERROR(VLOOKUP($E312,Selection!$E:$F,2,false)),IFERROR(VLOOKUP(SUBSTITUTE($I312,"-","",1),$K313:$Q1119,7,false),VLOOKUP($K312,$K313:$Q1119,7,false))))</f>
        <v/>
      </c>
      <c r="R312" s="49" t="str">
        <f t="shared" si="2"/>
        <v/>
      </c>
      <c r="S312" s="51" t="str">
        <f t="shared" si="3"/>
        <v/>
      </c>
      <c r="T312" s="52" t="str">
        <f t="shared" si="4"/>
        <v/>
      </c>
      <c r="U312" s="46" t="str">
        <f t="shared" si="5"/>
        <v/>
      </c>
      <c r="V312" s="53" t="str">
        <f>IFERROR(__xludf.DUMMYFUNCTION(" IF(Account!$F312&lt;&gt;"""", SPLIT(Account!$F312, "" ""), """")"),"")</f>
        <v/>
      </c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</row>
    <row r="313">
      <c r="A313" s="11"/>
      <c r="B313" s="11"/>
      <c r="C313" s="11"/>
      <c r="D313" s="11"/>
      <c r="E313" s="11"/>
      <c r="F313" s="12"/>
      <c r="G313" s="215"/>
      <c r="H313" s="11"/>
      <c r="I313" s="11"/>
      <c r="J313" s="11"/>
      <c r="K313" s="11"/>
      <c r="L313" s="45" t="str">
        <f t="shared" si="1"/>
        <v/>
      </c>
      <c r="M313" s="46" t="str">
        <f>IFERROR(__xludf.DUMMYFUNCTION("IF(Account!$F313&lt;&gt;"""", VALUE(REGEXREPLACE($I313, ""\,"", ""."")), """")"),"")</f>
        <v/>
      </c>
      <c r="N313" s="47" t="str">
        <f>IF(Account!$F313&lt;&gt;"", DATEVALUE(MID($A313,4,3) &amp; LEFT($A313,3) &amp; RIGHT($A313,4)) + TIMEVALUE($B313), "")</f>
        <v/>
      </c>
      <c r="O313" s="48" t="str">
        <f>IF(Account!$F313&lt;&gt;"", DATEVALUE(MID($A313,4,3) &amp; LEFT($A313,3) &amp; RIGHT($A313,4)), "")</f>
        <v/>
      </c>
      <c r="P313" s="49" t="str">
        <f>IFERROR(VLOOKUP($Q313,Selection!$F:$G,2,false))</f>
        <v/>
      </c>
      <c r="Q313" s="50" t="str">
        <f>IF(AND($X313="change",$H313="EUR"),IF(AND($Z313="Crédit",$N313=$N314),$Q314,IF(AND($Z313="Débit",$N313=$N312),$Q312)),IF(OR(AND(OR($E313&lt;&gt;"",$L313=""),$M313&lt;&gt;0),$A313=""),IFERROR(VLOOKUP($E313,Selection!$E:$F,2,false)),IFERROR(VLOOKUP(SUBSTITUTE($I313,"-","",1),$K314:$Q1119,7,false),VLOOKUP($K313,$K314:$Q1119,7,false))))</f>
        <v/>
      </c>
      <c r="R313" s="49" t="str">
        <f t="shared" si="2"/>
        <v/>
      </c>
      <c r="S313" s="51" t="str">
        <f t="shared" si="3"/>
        <v/>
      </c>
      <c r="T313" s="52" t="str">
        <f t="shared" si="4"/>
        <v/>
      </c>
      <c r="U313" s="46" t="str">
        <f t="shared" si="5"/>
        <v/>
      </c>
      <c r="V313" s="53" t="str">
        <f>IFERROR(__xludf.DUMMYFUNCTION(" IF(Account!$F313&lt;&gt;"""", SPLIT(Account!$F313, "" ""), """")"),"")</f>
        <v/>
      </c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</row>
    <row r="314">
      <c r="A314" s="11"/>
      <c r="B314" s="11"/>
      <c r="C314" s="11"/>
      <c r="D314" s="11"/>
      <c r="E314" s="11"/>
      <c r="F314" s="12"/>
      <c r="G314" s="215"/>
      <c r="H314" s="11"/>
      <c r="I314" s="11"/>
      <c r="J314" s="11"/>
      <c r="K314" s="11"/>
      <c r="L314" s="45" t="str">
        <f t="shared" si="1"/>
        <v/>
      </c>
      <c r="M314" s="46" t="str">
        <f>IFERROR(__xludf.DUMMYFUNCTION("IF(Account!$F314&lt;&gt;"""", VALUE(REGEXREPLACE($I314, ""\,"", ""."")), """")"),"")</f>
        <v/>
      </c>
      <c r="N314" s="47" t="str">
        <f>IF(Account!$F314&lt;&gt;"", DATEVALUE(MID($A314,4,3) &amp; LEFT($A314,3) &amp; RIGHT($A314,4)) + TIMEVALUE($B314), "")</f>
        <v/>
      </c>
      <c r="O314" s="48" t="str">
        <f>IF(Account!$F314&lt;&gt;"", DATEVALUE(MID($A314,4,3) &amp; LEFT($A314,3) &amp; RIGHT($A314,4)), "")</f>
        <v/>
      </c>
      <c r="P314" s="49" t="str">
        <f>IFERROR(VLOOKUP($Q314,Selection!$F:$G,2,false))</f>
        <v/>
      </c>
      <c r="Q314" s="50" t="str">
        <f>IF(AND($X314="change",$H314="EUR"),IF(AND($Z314="Crédit",$N314=$N315),$Q315,IF(AND($Z314="Débit",$N314=$N313),$Q313)),IF(OR(AND(OR($E314&lt;&gt;"",$L314=""),$M314&lt;&gt;0),$A314=""),IFERROR(VLOOKUP($E314,Selection!$E:$F,2,false)),IFERROR(VLOOKUP(SUBSTITUTE($I314,"-","",1),$K315:$Q1119,7,false),VLOOKUP($K314,$K315:$Q1119,7,false))))</f>
        <v/>
      </c>
      <c r="R314" s="49" t="str">
        <f t="shared" si="2"/>
        <v/>
      </c>
      <c r="S314" s="51" t="str">
        <f t="shared" si="3"/>
        <v/>
      </c>
      <c r="T314" s="52" t="str">
        <f t="shared" si="4"/>
        <v/>
      </c>
      <c r="U314" s="46" t="str">
        <f t="shared" si="5"/>
        <v/>
      </c>
      <c r="V314" s="53" t="str">
        <f>IFERROR(__xludf.DUMMYFUNCTION(" IF(Account!$F314&lt;&gt;"""", SPLIT(Account!$F314, "" ""), """")"),"")</f>
        <v/>
      </c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</row>
    <row r="315">
      <c r="A315" s="11"/>
      <c r="B315" s="11"/>
      <c r="C315" s="11"/>
      <c r="D315" s="11"/>
      <c r="E315" s="11"/>
      <c r="F315" s="12"/>
      <c r="G315" s="215"/>
      <c r="H315" s="11"/>
      <c r="I315" s="11"/>
      <c r="J315" s="11"/>
      <c r="K315" s="11"/>
      <c r="L315" s="45" t="str">
        <f t="shared" si="1"/>
        <v/>
      </c>
      <c r="M315" s="46" t="str">
        <f>IFERROR(__xludf.DUMMYFUNCTION("IF(Account!$F315&lt;&gt;"""", VALUE(REGEXREPLACE($I315, ""\,"", ""."")), """")"),"")</f>
        <v/>
      </c>
      <c r="N315" s="47" t="str">
        <f>IF(Account!$F315&lt;&gt;"", DATEVALUE(MID($A315,4,3) &amp; LEFT($A315,3) &amp; RIGHT($A315,4)) + TIMEVALUE($B315), "")</f>
        <v/>
      </c>
      <c r="O315" s="48" t="str">
        <f>IF(Account!$F315&lt;&gt;"", DATEVALUE(MID($A315,4,3) &amp; LEFT($A315,3) &amp; RIGHT($A315,4)), "")</f>
        <v/>
      </c>
      <c r="P315" s="49" t="str">
        <f>IFERROR(VLOOKUP($Q315,Selection!$F:$G,2,false))</f>
        <v/>
      </c>
      <c r="Q315" s="50" t="str">
        <f>IF(AND($X315="change",$H315="EUR"),IF(AND($Z315="Crédit",$N315=$N316),$Q316,IF(AND($Z315="Débit",$N315=$N314),$Q314)),IF(OR(AND(OR($E315&lt;&gt;"",$L315=""),$M315&lt;&gt;0),$A315=""),IFERROR(VLOOKUP($E315,Selection!$E:$F,2,false)),IFERROR(VLOOKUP(SUBSTITUTE($I315,"-","",1),$K316:$Q1119,7,false),VLOOKUP($K315,$K316:$Q1119,7,false))))</f>
        <v/>
      </c>
      <c r="R315" s="49" t="str">
        <f t="shared" si="2"/>
        <v/>
      </c>
      <c r="S315" s="51" t="str">
        <f t="shared" si="3"/>
        <v/>
      </c>
      <c r="T315" s="52" t="str">
        <f t="shared" si="4"/>
        <v/>
      </c>
      <c r="U315" s="46" t="str">
        <f t="shared" si="5"/>
        <v/>
      </c>
      <c r="V315" s="53" t="str">
        <f>IFERROR(__xludf.DUMMYFUNCTION(" IF(Account!$F315&lt;&gt;"""", SPLIT(Account!$F315, "" ""), """")"),"")</f>
        <v/>
      </c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</row>
    <row r="316">
      <c r="A316" s="11"/>
      <c r="B316" s="11"/>
      <c r="C316" s="11"/>
      <c r="D316" s="11"/>
      <c r="E316" s="11"/>
      <c r="F316" s="12"/>
      <c r="G316" s="215"/>
      <c r="H316" s="11"/>
      <c r="I316" s="11"/>
      <c r="J316" s="11"/>
      <c r="K316" s="11"/>
      <c r="L316" s="45" t="str">
        <f t="shared" si="1"/>
        <v/>
      </c>
      <c r="M316" s="46" t="str">
        <f>IFERROR(__xludf.DUMMYFUNCTION("IF(Account!$F316&lt;&gt;"""", VALUE(REGEXREPLACE($I316, ""\,"", ""."")), """")"),"")</f>
        <v/>
      </c>
      <c r="N316" s="47" t="str">
        <f>IF(Account!$F316&lt;&gt;"", DATEVALUE(MID($A316,4,3) &amp; LEFT($A316,3) &amp; RIGHT($A316,4)) + TIMEVALUE($B316), "")</f>
        <v/>
      </c>
      <c r="O316" s="48" t="str">
        <f>IF(Account!$F316&lt;&gt;"", DATEVALUE(MID($A316,4,3) &amp; LEFT($A316,3) &amp; RIGHT($A316,4)), "")</f>
        <v/>
      </c>
      <c r="P316" s="49" t="str">
        <f>IFERROR(VLOOKUP($Q316,Selection!$F:$G,2,false))</f>
        <v/>
      </c>
      <c r="Q316" s="50" t="str">
        <f>IF(AND($X316="change",$H316="EUR"),IF(AND($Z316="Crédit",$N316=$N317),$Q317,IF(AND($Z316="Débit",$N316=$N315),$Q315)),IF(OR(AND(OR($E316&lt;&gt;"",$L316=""),$M316&lt;&gt;0),$A316=""),IFERROR(VLOOKUP($E316,Selection!$E:$F,2,false)),IFERROR(VLOOKUP(SUBSTITUTE($I316,"-","",1),$K317:$Q1119,7,false),VLOOKUP($K316,$K317:$Q1119,7,false))))</f>
        <v/>
      </c>
      <c r="R316" s="49" t="str">
        <f t="shared" si="2"/>
        <v/>
      </c>
      <c r="S316" s="51" t="str">
        <f t="shared" si="3"/>
        <v/>
      </c>
      <c r="T316" s="52" t="str">
        <f t="shared" si="4"/>
        <v/>
      </c>
      <c r="U316" s="46" t="str">
        <f t="shared" si="5"/>
        <v/>
      </c>
      <c r="V316" s="53" t="str">
        <f>IFERROR(__xludf.DUMMYFUNCTION(" IF(Account!$F316&lt;&gt;"""", SPLIT(Account!$F316, "" ""), """")"),"")</f>
        <v/>
      </c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</row>
    <row r="317">
      <c r="A317" s="11"/>
      <c r="B317" s="11"/>
      <c r="C317" s="11"/>
      <c r="D317" s="11"/>
      <c r="E317" s="11"/>
      <c r="F317" s="12"/>
      <c r="G317" s="215"/>
      <c r="H317" s="11"/>
      <c r="I317" s="11"/>
      <c r="J317" s="11"/>
      <c r="K317" s="11"/>
      <c r="L317" s="45" t="str">
        <f t="shared" si="1"/>
        <v/>
      </c>
      <c r="M317" s="46" t="str">
        <f>IFERROR(__xludf.DUMMYFUNCTION("IF(Account!$F317&lt;&gt;"""", VALUE(REGEXREPLACE($I317, ""\,"", ""."")), """")"),"")</f>
        <v/>
      </c>
      <c r="N317" s="47" t="str">
        <f>IF(Account!$F317&lt;&gt;"", DATEVALUE(MID($A317,4,3) &amp; LEFT($A317,3) &amp; RIGHT($A317,4)) + TIMEVALUE($B317), "")</f>
        <v/>
      </c>
      <c r="O317" s="48" t="str">
        <f>IF(Account!$F317&lt;&gt;"", DATEVALUE(MID($A317,4,3) &amp; LEFT($A317,3) &amp; RIGHT($A317,4)), "")</f>
        <v/>
      </c>
      <c r="P317" s="49" t="str">
        <f>IFERROR(VLOOKUP($Q317,Selection!$F:$G,2,false))</f>
        <v/>
      </c>
      <c r="Q317" s="50" t="str">
        <f>IF(AND($X317="change",$H317="EUR"),IF(AND($Z317="Crédit",$N317=$N318),$Q318,IF(AND($Z317="Débit",$N317=$N316),$Q316)),IF(OR(AND(OR($E317&lt;&gt;"",$L317=""),$M317&lt;&gt;0),$A317=""),IFERROR(VLOOKUP($E317,Selection!$E:$F,2,false)),IFERROR(VLOOKUP(SUBSTITUTE($I317,"-","",1),$K318:$Q1119,7,false),VLOOKUP($K317,$K318:$Q1119,7,false))))</f>
        <v/>
      </c>
      <c r="R317" s="49" t="str">
        <f t="shared" si="2"/>
        <v/>
      </c>
      <c r="S317" s="51" t="str">
        <f t="shared" si="3"/>
        <v/>
      </c>
      <c r="T317" s="52" t="str">
        <f t="shared" si="4"/>
        <v/>
      </c>
      <c r="U317" s="46" t="str">
        <f t="shared" si="5"/>
        <v/>
      </c>
      <c r="V317" s="53" t="str">
        <f>IFERROR(__xludf.DUMMYFUNCTION(" IF(Account!$F317&lt;&gt;"""", SPLIT(Account!$F317, "" ""), """")"),"")</f>
        <v/>
      </c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</row>
    <row r="318">
      <c r="A318" s="11"/>
      <c r="B318" s="11"/>
      <c r="C318" s="11"/>
      <c r="D318" s="11"/>
      <c r="E318" s="11"/>
      <c r="F318" s="12"/>
      <c r="G318" s="215"/>
      <c r="H318" s="11"/>
      <c r="I318" s="11"/>
      <c r="J318" s="11"/>
      <c r="K318" s="11"/>
      <c r="L318" s="45" t="str">
        <f t="shared" si="1"/>
        <v/>
      </c>
      <c r="M318" s="46" t="str">
        <f>IFERROR(__xludf.DUMMYFUNCTION("IF(Account!$F318&lt;&gt;"""", VALUE(REGEXREPLACE($I318, ""\,"", ""."")), """")"),"")</f>
        <v/>
      </c>
      <c r="N318" s="47" t="str">
        <f>IF(Account!$F318&lt;&gt;"", DATEVALUE(MID($A318,4,3) &amp; LEFT($A318,3) &amp; RIGHT($A318,4)) + TIMEVALUE($B318), "")</f>
        <v/>
      </c>
      <c r="O318" s="48" t="str">
        <f>IF(Account!$F318&lt;&gt;"", DATEVALUE(MID($A318,4,3) &amp; LEFT($A318,3) &amp; RIGHT($A318,4)), "")</f>
        <v/>
      </c>
      <c r="P318" s="49" t="str">
        <f>IFERROR(VLOOKUP($Q318,Selection!$F:$G,2,false))</f>
        <v/>
      </c>
      <c r="Q318" s="50" t="str">
        <f>IF(AND($X318="change",$H318="EUR"),IF(AND($Z318="Crédit",$N318=$N319),$Q319,IF(AND($Z318="Débit",$N318=$N317),$Q317)),IF(OR(AND(OR($E318&lt;&gt;"",$L318=""),$M318&lt;&gt;0),$A318=""),IFERROR(VLOOKUP($E318,Selection!$E:$F,2,false)),IFERROR(VLOOKUP(SUBSTITUTE($I318,"-","",1),$K319:$Q1119,7,false),VLOOKUP($K318,$K319:$Q1119,7,false))))</f>
        <v/>
      </c>
      <c r="R318" s="49" t="str">
        <f t="shared" si="2"/>
        <v/>
      </c>
      <c r="S318" s="51" t="str">
        <f t="shared" si="3"/>
        <v/>
      </c>
      <c r="T318" s="52" t="str">
        <f t="shared" si="4"/>
        <v/>
      </c>
      <c r="U318" s="46" t="str">
        <f t="shared" si="5"/>
        <v/>
      </c>
      <c r="V318" s="53" t="str">
        <f>IFERROR(__xludf.DUMMYFUNCTION(" IF(Account!$F318&lt;&gt;"""", SPLIT(Account!$F318, "" ""), """")"),"")</f>
        <v/>
      </c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</row>
    <row r="319">
      <c r="A319" s="11"/>
      <c r="B319" s="11"/>
      <c r="C319" s="11"/>
      <c r="D319" s="11"/>
      <c r="E319" s="11"/>
      <c r="F319" s="12"/>
      <c r="G319" s="215"/>
      <c r="H319" s="11"/>
      <c r="I319" s="11"/>
      <c r="J319" s="11"/>
      <c r="K319" s="11"/>
      <c r="L319" s="45" t="str">
        <f t="shared" si="1"/>
        <v/>
      </c>
      <c r="M319" s="46" t="str">
        <f>IFERROR(__xludf.DUMMYFUNCTION("IF(Account!$F319&lt;&gt;"""", VALUE(REGEXREPLACE($I319, ""\,"", ""."")), """")"),"")</f>
        <v/>
      </c>
      <c r="N319" s="47" t="str">
        <f>IF(Account!$F319&lt;&gt;"", DATEVALUE(MID($A319,4,3) &amp; LEFT($A319,3) &amp; RIGHT($A319,4)) + TIMEVALUE($B319), "")</f>
        <v/>
      </c>
      <c r="O319" s="48" t="str">
        <f>IF(Account!$F319&lt;&gt;"", DATEVALUE(MID($A319,4,3) &amp; LEFT($A319,3) &amp; RIGHT($A319,4)), "")</f>
        <v/>
      </c>
      <c r="P319" s="49" t="str">
        <f>IFERROR(VLOOKUP($Q319,Selection!$F:$G,2,false))</f>
        <v/>
      </c>
      <c r="Q319" s="50" t="str">
        <f>IF(AND($X319="change",$H319="EUR"),IF(AND($Z319="Crédit",$N319=$N320),$Q320,IF(AND($Z319="Débit",$N319=$N318),$Q318)),IF(OR(AND(OR($E319&lt;&gt;"",$L319=""),$M319&lt;&gt;0),$A319=""),IFERROR(VLOOKUP($E319,Selection!$E:$F,2,false)),IFERROR(VLOOKUP(SUBSTITUTE($I319,"-","",1),$K320:$Q1119,7,false),VLOOKUP($K319,$K320:$Q1119,7,false))))</f>
        <v/>
      </c>
      <c r="R319" s="49" t="str">
        <f t="shared" si="2"/>
        <v/>
      </c>
      <c r="S319" s="51" t="str">
        <f t="shared" si="3"/>
        <v/>
      </c>
      <c r="T319" s="52" t="str">
        <f t="shared" si="4"/>
        <v/>
      </c>
      <c r="U319" s="46" t="str">
        <f t="shared" si="5"/>
        <v/>
      </c>
      <c r="V319" s="53" t="str">
        <f>IFERROR(__xludf.DUMMYFUNCTION(" IF(Account!$F319&lt;&gt;"""", SPLIT(Account!$F319, "" ""), """")"),"")</f>
        <v/>
      </c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</row>
    <row r="320">
      <c r="A320" s="11"/>
      <c r="B320" s="11"/>
      <c r="C320" s="11"/>
      <c r="D320" s="11"/>
      <c r="E320" s="11"/>
      <c r="F320" s="12"/>
      <c r="G320" s="215"/>
      <c r="H320" s="11"/>
      <c r="I320" s="11"/>
      <c r="J320" s="11"/>
      <c r="K320" s="11"/>
      <c r="L320" s="45" t="str">
        <f t="shared" si="1"/>
        <v/>
      </c>
      <c r="M320" s="46" t="str">
        <f>IFERROR(__xludf.DUMMYFUNCTION("IF(Account!$F320&lt;&gt;"""", VALUE(REGEXREPLACE($I320, ""\,"", ""."")), """")"),"")</f>
        <v/>
      </c>
      <c r="N320" s="47" t="str">
        <f>IF(Account!$F320&lt;&gt;"", DATEVALUE(MID($A320,4,3) &amp; LEFT($A320,3) &amp; RIGHT($A320,4)) + TIMEVALUE($B320), "")</f>
        <v/>
      </c>
      <c r="O320" s="48" t="str">
        <f>IF(Account!$F320&lt;&gt;"", DATEVALUE(MID($A320,4,3) &amp; LEFT($A320,3) &amp; RIGHT($A320,4)), "")</f>
        <v/>
      </c>
      <c r="P320" s="49" t="str">
        <f>IFERROR(VLOOKUP($Q320,Selection!$F:$G,2,false))</f>
        <v/>
      </c>
      <c r="Q320" s="50" t="str">
        <f>IF(AND($X320="change",$H320="EUR"),IF(AND($Z320="Crédit",$N320=$N321),$Q321,IF(AND($Z320="Débit",$N320=$N319),$Q319)),IF(OR(AND(OR($E320&lt;&gt;"",$L320=""),$M320&lt;&gt;0),$A320=""),IFERROR(VLOOKUP($E320,Selection!$E:$F,2,false)),IFERROR(VLOOKUP(SUBSTITUTE($I320,"-","",1),$K321:$Q1119,7,false),VLOOKUP($K320,$K321:$Q1119,7,false))))</f>
        <v/>
      </c>
      <c r="R320" s="49" t="str">
        <f t="shared" si="2"/>
        <v/>
      </c>
      <c r="S320" s="51" t="str">
        <f t="shared" si="3"/>
        <v/>
      </c>
      <c r="T320" s="52" t="str">
        <f t="shared" si="4"/>
        <v/>
      </c>
      <c r="U320" s="46" t="str">
        <f t="shared" si="5"/>
        <v/>
      </c>
      <c r="V320" s="53" t="str">
        <f>IFERROR(__xludf.DUMMYFUNCTION(" IF(Account!$F320&lt;&gt;"""", SPLIT(Account!$F320, "" ""), """")"),"")</f>
        <v/>
      </c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</row>
    <row r="321">
      <c r="A321" s="11"/>
      <c r="B321" s="11"/>
      <c r="C321" s="11"/>
      <c r="D321" s="11"/>
      <c r="E321" s="11"/>
      <c r="F321" s="12"/>
      <c r="G321" s="11"/>
      <c r="H321" s="11"/>
      <c r="I321" s="11"/>
      <c r="J321" s="11"/>
      <c r="K321" s="11"/>
      <c r="L321" s="45" t="str">
        <f t="shared" si="1"/>
        <v/>
      </c>
      <c r="M321" s="46" t="str">
        <f>IFERROR(__xludf.DUMMYFUNCTION("IF(Account!$F321&lt;&gt;"""", VALUE(REGEXREPLACE($I321, ""\,"", ""."")), """")"),"")</f>
        <v/>
      </c>
      <c r="N321" s="47" t="str">
        <f>IF(Account!$F321&lt;&gt;"", DATEVALUE(MID($A321,4,3) &amp; LEFT($A321,3) &amp; RIGHT($A321,4)) + TIMEVALUE($B321), "")</f>
        <v/>
      </c>
      <c r="O321" s="48" t="str">
        <f>IF(Account!$F321&lt;&gt;"", DATEVALUE(MID($A321,4,3) &amp; LEFT($A321,3) &amp; RIGHT($A321,4)), "")</f>
        <v/>
      </c>
      <c r="P321" s="49" t="str">
        <f>IFERROR(VLOOKUP($Q321,Selection!$F:$G,2,false))</f>
        <v/>
      </c>
      <c r="Q321" s="50" t="str">
        <f>IF(AND($X321="change",$H321="EUR"),IF(AND($Z321="Crédit",$N321=$N322),$Q322,IF(AND($Z321="Débit",$N321=$N320),$Q320)),IF(OR(AND(OR($E321&lt;&gt;"",$L321=""),$M321&lt;&gt;0),$A321=""),IFERROR(VLOOKUP($E321,Selection!$E:$F,2,false)),IFERROR(VLOOKUP(SUBSTITUTE($I321,"-","",1),$K322:$Q1119,7,false),VLOOKUP($K321,$K322:$Q1119,7,false))))</f>
        <v/>
      </c>
      <c r="R321" s="49" t="str">
        <f t="shared" si="2"/>
        <v/>
      </c>
      <c r="S321" s="51" t="str">
        <f t="shared" si="3"/>
        <v/>
      </c>
      <c r="T321" s="52" t="str">
        <f t="shared" si="4"/>
        <v/>
      </c>
      <c r="U321" s="46" t="str">
        <f t="shared" si="5"/>
        <v/>
      </c>
      <c r="V321" s="53" t="str">
        <f>IFERROR(__xludf.DUMMYFUNCTION(" IF(Account!$F321&lt;&gt;"""", SPLIT(Account!$F321, "" ""), """")"),"")</f>
        <v/>
      </c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</row>
    <row r="322">
      <c r="A322" s="11"/>
      <c r="B322" s="11"/>
      <c r="C322" s="11"/>
      <c r="D322" s="11"/>
      <c r="E322" s="11"/>
      <c r="F322" s="12"/>
      <c r="G322" s="215"/>
      <c r="H322" s="11"/>
      <c r="I322" s="11"/>
      <c r="J322" s="11"/>
      <c r="K322" s="11"/>
      <c r="L322" s="45" t="str">
        <f t="shared" si="1"/>
        <v/>
      </c>
      <c r="M322" s="46" t="str">
        <f>IFERROR(__xludf.DUMMYFUNCTION("IF(Account!$F322&lt;&gt;"""", VALUE(REGEXREPLACE($I322, ""\,"", ""."")), """")"),"")</f>
        <v/>
      </c>
      <c r="N322" s="47" t="str">
        <f>IF(Account!$F322&lt;&gt;"", DATEVALUE(MID($A322,4,3) &amp; LEFT($A322,3) &amp; RIGHT($A322,4)) + TIMEVALUE($B322), "")</f>
        <v/>
      </c>
      <c r="O322" s="48" t="str">
        <f>IF(Account!$F322&lt;&gt;"", DATEVALUE(MID($A322,4,3) &amp; LEFT($A322,3) &amp; RIGHT($A322,4)), "")</f>
        <v/>
      </c>
      <c r="P322" s="49" t="str">
        <f>IFERROR(VLOOKUP($Q322,Selection!$F:$G,2,false))</f>
        <v/>
      </c>
      <c r="Q322" s="50" t="str">
        <f>IF(AND($X322="change",$H322="EUR"),IF(AND($Z322="Crédit",$N322=$N323),$Q323,IF(AND($Z322="Débit",$N322=$N321),$Q321)),IF(OR(AND(OR($E322&lt;&gt;"",$L322=""),$M322&lt;&gt;0),$A322=""),IFERROR(VLOOKUP($E322,Selection!$E:$F,2,false)),IFERROR(VLOOKUP(SUBSTITUTE($I322,"-","",1),$K323:$Q1119,7,false),VLOOKUP($K322,$K323:$Q1119,7,false))))</f>
        <v/>
      </c>
      <c r="R322" s="49" t="str">
        <f t="shared" si="2"/>
        <v/>
      </c>
      <c r="S322" s="51" t="str">
        <f t="shared" si="3"/>
        <v/>
      </c>
      <c r="T322" s="52" t="str">
        <f t="shared" si="4"/>
        <v/>
      </c>
      <c r="U322" s="46" t="str">
        <f t="shared" si="5"/>
        <v/>
      </c>
      <c r="V322" s="53" t="str">
        <f>IFERROR(__xludf.DUMMYFUNCTION(" IF(Account!$F322&lt;&gt;"""", SPLIT(Account!$F322, "" ""), """")"),"")</f>
        <v/>
      </c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</row>
    <row r="323">
      <c r="A323" s="11"/>
      <c r="B323" s="11"/>
      <c r="C323" s="11"/>
      <c r="D323" s="11"/>
      <c r="E323" s="11"/>
      <c r="F323" s="12"/>
      <c r="G323" s="11"/>
      <c r="H323" s="11"/>
      <c r="I323" s="11"/>
      <c r="J323" s="11"/>
      <c r="K323" s="11"/>
      <c r="L323" s="45" t="str">
        <f t="shared" si="1"/>
        <v/>
      </c>
      <c r="M323" s="46" t="str">
        <f>IFERROR(__xludf.DUMMYFUNCTION("IF(Account!$F323&lt;&gt;"""", VALUE(REGEXREPLACE($I323, ""\,"", ""."")), """")"),"")</f>
        <v/>
      </c>
      <c r="N323" s="47" t="str">
        <f>IF(Account!$F323&lt;&gt;"", DATEVALUE(MID($A323,4,3) &amp; LEFT($A323,3) &amp; RIGHT($A323,4)) + TIMEVALUE($B323), "")</f>
        <v/>
      </c>
      <c r="O323" s="48" t="str">
        <f>IF(Account!$F323&lt;&gt;"", DATEVALUE(MID($A323,4,3) &amp; LEFT($A323,3) &amp; RIGHT($A323,4)), "")</f>
        <v/>
      </c>
      <c r="P323" s="49" t="str">
        <f>IFERROR(VLOOKUP($Q323,Selection!$F:$G,2,false))</f>
        <v/>
      </c>
      <c r="Q323" s="50" t="str">
        <f>IF(AND($X323="change",$H323="EUR"),IF(AND($Z323="Crédit",$N323=$N324),$Q324,IF(AND($Z323="Débit",$N323=$N322),$Q322)),IF(OR(AND(OR($E323&lt;&gt;"",$L323=""),$M323&lt;&gt;0),$A323=""),IFERROR(VLOOKUP($E323,Selection!$E:$F,2,false)),IFERROR(VLOOKUP(SUBSTITUTE($I323,"-","",1),$K324:$Q1119,7,false),VLOOKUP($K323,$K324:$Q1119,7,false))))</f>
        <v/>
      </c>
      <c r="R323" s="49" t="str">
        <f t="shared" si="2"/>
        <v/>
      </c>
      <c r="S323" s="51" t="str">
        <f t="shared" si="3"/>
        <v/>
      </c>
      <c r="T323" s="52" t="str">
        <f t="shared" si="4"/>
        <v/>
      </c>
      <c r="U323" s="46" t="str">
        <f t="shared" si="5"/>
        <v/>
      </c>
      <c r="V323" s="53" t="str">
        <f>IFERROR(__xludf.DUMMYFUNCTION(" IF(Account!$F323&lt;&gt;"""", SPLIT(Account!$F323, "" ""), """")"),"")</f>
        <v/>
      </c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</row>
    <row r="324">
      <c r="A324" s="11"/>
      <c r="B324" s="11"/>
      <c r="C324" s="11"/>
      <c r="D324" s="11"/>
      <c r="E324" s="11"/>
      <c r="F324" s="12"/>
      <c r="G324" s="11"/>
      <c r="H324" s="11"/>
      <c r="I324" s="11"/>
      <c r="J324" s="11"/>
      <c r="K324" s="11"/>
      <c r="L324" s="45" t="str">
        <f t="shared" si="1"/>
        <v/>
      </c>
      <c r="M324" s="46" t="str">
        <f>IFERROR(__xludf.DUMMYFUNCTION("IF(Account!$F324&lt;&gt;"""", VALUE(REGEXREPLACE($I324, ""\,"", ""."")), """")"),"")</f>
        <v/>
      </c>
      <c r="N324" s="47" t="str">
        <f>IF(Account!$F324&lt;&gt;"", DATEVALUE(MID($A324,4,3) &amp; LEFT($A324,3) &amp; RIGHT($A324,4)) + TIMEVALUE($B324), "")</f>
        <v/>
      </c>
      <c r="O324" s="48" t="str">
        <f>IF(Account!$F324&lt;&gt;"", DATEVALUE(MID($A324,4,3) &amp; LEFT($A324,3) &amp; RIGHT($A324,4)), "")</f>
        <v/>
      </c>
      <c r="P324" s="49" t="str">
        <f>IFERROR(VLOOKUP($Q324,Selection!$F:$G,2,false))</f>
        <v/>
      </c>
      <c r="Q324" s="50" t="str">
        <f>IF(AND($X324="change",$H324="EUR"),IF(AND($Z324="Crédit",$N324=$N325),$Q325,IF(AND($Z324="Débit",$N324=$N323),$Q323)),IF(OR(AND(OR($E324&lt;&gt;"",$L324=""),$M324&lt;&gt;0),$A324=""),IFERROR(VLOOKUP($E324,Selection!$E:$F,2,false)),IFERROR(VLOOKUP(SUBSTITUTE($I324,"-","",1),$K325:$Q1119,7,false),VLOOKUP($K324,$K325:$Q1119,7,false))))</f>
        <v/>
      </c>
      <c r="R324" s="49" t="str">
        <f t="shared" si="2"/>
        <v/>
      </c>
      <c r="S324" s="51" t="str">
        <f t="shared" si="3"/>
        <v/>
      </c>
      <c r="T324" s="52" t="str">
        <f t="shared" si="4"/>
        <v/>
      </c>
      <c r="U324" s="46" t="str">
        <f t="shared" si="5"/>
        <v/>
      </c>
      <c r="V324" s="53" t="str">
        <f>IFERROR(__xludf.DUMMYFUNCTION(" IF(Account!$F324&lt;&gt;"""", SPLIT(Account!$F324, "" ""), """")"),"")</f>
        <v/>
      </c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</row>
    <row r="325">
      <c r="A325" s="11"/>
      <c r="B325" s="11"/>
      <c r="C325" s="11"/>
      <c r="D325" s="11"/>
      <c r="E325" s="11"/>
      <c r="F325" s="12"/>
      <c r="G325" s="11"/>
      <c r="H325" s="11"/>
      <c r="I325" s="11"/>
      <c r="J325" s="11"/>
      <c r="K325" s="11"/>
      <c r="L325" s="45" t="str">
        <f t="shared" si="1"/>
        <v/>
      </c>
      <c r="M325" s="46" t="str">
        <f>IFERROR(__xludf.DUMMYFUNCTION("IF(Account!$F325&lt;&gt;"""", VALUE(REGEXREPLACE($I325, ""\,"", ""."")), """")"),"")</f>
        <v/>
      </c>
      <c r="N325" s="47" t="str">
        <f>IF(Account!$F325&lt;&gt;"", DATEVALUE(MID($A325,4,3) &amp; LEFT($A325,3) &amp; RIGHT($A325,4)) + TIMEVALUE($B325), "")</f>
        <v/>
      </c>
      <c r="O325" s="48" t="str">
        <f>IF(Account!$F325&lt;&gt;"", DATEVALUE(MID($A325,4,3) &amp; LEFT($A325,3) &amp; RIGHT($A325,4)), "")</f>
        <v/>
      </c>
      <c r="P325" s="49" t="str">
        <f>IFERROR(VLOOKUP($Q325,Selection!$F:$G,2,false))</f>
        <v/>
      </c>
      <c r="Q325" s="50" t="str">
        <f>IF(AND($X325="change",$H325="EUR"),IF(AND($Z325="Crédit",$N325=$N326),$Q326,IF(AND($Z325="Débit",$N325=$N324),$Q324)),IF(OR(AND(OR($E325&lt;&gt;"",$L325=""),$M325&lt;&gt;0),$A325=""),IFERROR(VLOOKUP($E325,Selection!$E:$F,2,false)),IFERROR(VLOOKUP(SUBSTITUTE($I325,"-","",1),$K326:$Q1119,7,false),VLOOKUP($K325,$K326:$Q1119,7,false))))</f>
        <v/>
      </c>
      <c r="R325" s="49" t="str">
        <f t="shared" si="2"/>
        <v/>
      </c>
      <c r="S325" s="51" t="str">
        <f t="shared" si="3"/>
        <v/>
      </c>
      <c r="T325" s="52" t="str">
        <f t="shared" si="4"/>
        <v/>
      </c>
      <c r="U325" s="46" t="str">
        <f t="shared" si="5"/>
        <v/>
      </c>
      <c r="V325" s="53" t="str">
        <f>IFERROR(__xludf.DUMMYFUNCTION(" IF(Account!$F325&lt;&gt;"""", SPLIT(Account!$F325, "" ""), """")"),"")</f>
        <v/>
      </c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</row>
    <row r="326">
      <c r="A326" s="11"/>
      <c r="B326" s="11"/>
      <c r="C326" s="11"/>
      <c r="D326" s="11"/>
      <c r="E326" s="11"/>
      <c r="F326" s="12"/>
      <c r="G326" s="11"/>
      <c r="H326" s="11"/>
      <c r="I326" s="11"/>
      <c r="J326" s="11"/>
      <c r="K326" s="11"/>
      <c r="L326" s="45" t="str">
        <f t="shared" si="1"/>
        <v/>
      </c>
      <c r="M326" s="46" t="str">
        <f>IFERROR(__xludf.DUMMYFUNCTION("IF(Account!$F326&lt;&gt;"""", VALUE(REGEXREPLACE($I326, ""\,"", ""."")), """")"),"")</f>
        <v/>
      </c>
      <c r="N326" s="47" t="str">
        <f>IF(Account!$F326&lt;&gt;"", DATEVALUE(MID($A326,4,3) &amp; LEFT($A326,3) &amp; RIGHT($A326,4)) + TIMEVALUE($B326), "")</f>
        <v/>
      </c>
      <c r="O326" s="48" t="str">
        <f>IF(Account!$F326&lt;&gt;"", DATEVALUE(MID($A326,4,3) &amp; LEFT($A326,3) &amp; RIGHT($A326,4)), "")</f>
        <v/>
      </c>
      <c r="P326" s="49" t="str">
        <f>IFERROR(VLOOKUP($Q326,Selection!$F:$G,2,false))</f>
        <v/>
      </c>
      <c r="Q326" s="50" t="str">
        <f>IF(AND($X326="change",$H326="EUR"),IF(AND($Z326="Crédit",$N326=$N327),$Q327,IF(AND($Z326="Débit",$N326=$N325),$Q325)),IF(OR(AND(OR($E326&lt;&gt;"",$L326=""),$M326&lt;&gt;0),$A326=""),IFERROR(VLOOKUP($E326,Selection!$E:$F,2,false)),IFERROR(VLOOKUP(SUBSTITUTE($I326,"-","",1),$K327:$Q1119,7,false),VLOOKUP($K326,$K327:$Q1119,7,false))))</f>
        <v/>
      </c>
      <c r="R326" s="49" t="str">
        <f t="shared" si="2"/>
        <v/>
      </c>
      <c r="S326" s="51" t="str">
        <f t="shared" si="3"/>
        <v/>
      </c>
      <c r="T326" s="52" t="str">
        <f t="shared" si="4"/>
        <v/>
      </c>
      <c r="U326" s="46" t="str">
        <f t="shared" si="5"/>
        <v/>
      </c>
      <c r="V326" s="53" t="str">
        <f>IFERROR(__xludf.DUMMYFUNCTION(" IF(Account!$F326&lt;&gt;"""", SPLIT(Account!$F326, "" ""), """")"),"")</f>
        <v/>
      </c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</row>
    <row r="327">
      <c r="A327" s="11"/>
      <c r="B327" s="11"/>
      <c r="C327" s="11"/>
      <c r="D327" s="11"/>
      <c r="E327" s="11"/>
      <c r="F327" s="12"/>
      <c r="G327" s="11"/>
      <c r="H327" s="11"/>
      <c r="I327" s="11"/>
      <c r="J327" s="11"/>
      <c r="K327" s="11"/>
      <c r="L327" s="45" t="str">
        <f t="shared" si="1"/>
        <v/>
      </c>
      <c r="M327" s="46" t="str">
        <f>IFERROR(__xludf.DUMMYFUNCTION("IF(Account!$F327&lt;&gt;"""", VALUE(REGEXREPLACE($I327, ""\,"", ""."")), """")"),"")</f>
        <v/>
      </c>
      <c r="N327" s="47" t="str">
        <f>IF(Account!$F327&lt;&gt;"", DATEVALUE(MID($A327,4,3) &amp; LEFT($A327,3) &amp; RIGHT($A327,4)) + TIMEVALUE($B327), "")</f>
        <v/>
      </c>
      <c r="O327" s="48" t="str">
        <f>IF(Account!$F327&lt;&gt;"", DATEVALUE(MID($A327,4,3) &amp; LEFT($A327,3) &amp; RIGHT($A327,4)), "")</f>
        <v/>
      </c>
      <c r="P327" s="49" t="str">
        <f>IFERROR(VLOOKUP($Q327,Selection!$F:$G,2,false))</f>
        <v/>
      </c>
      <c r="Q327" s="50" t="str">
        <f>IF(AND($X327="change",$H327="EUR"),IF(AND($Z327="Crédit",$N327=$N328),$Q328,IF(AND($Z327="Débit",$N327=$N326),$Q326)),IF(OR(AND(OR($E327&lt;&gt;"",$L327=""),$M327&lt;&gt;0),$A327=""),IFERROR(VLOOKUP($E327,Selection!$E:$F,2,false)),IFERROR(VLOOKUP(SUBSTITUTE($I327,"-","",1),$K328:$Q1119,7,false),VLOOKUP($K327,$K328:$Q1119,7,false))))</f>
        <v/>
      </c>
      <c r="R327" s="49" t="str">
        <f t="shared" si="2"/>
        <v/>
      </c>
      <c r="S327" s="51" t="str">
        <f t="shared" si="3"/>
        <v/>
      </c>
      <c r="T327" s="52" t="str">
        <f t="shared" si="4"/>
        <v/>
      </c>
      <c r="U327" s="46" t="str">
        <f t="shared" si="5"/>
        <v/>
      </c>
      <c r="V327" s="53" t="str">
        <f>IFERROR(__xludf.DUMMYFUNCTION(" IF(Account!$F327&lt;&gt;"""", SPLIT(Account!$F327, "" ""), """")"),"")</f>
        <v/>
      </c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</row>
    <row r="328">
      <c r="A328" s="11"/>
      <c r="B328" s="11"/>
      <c r="C328" s="11"/>
      <c r="D328" s="11"/>
      <c r="E328" s="11"/>
      <c r="F328" s="12"/>
      <c r="G328" s="11"/>
      <c r="H328" s="11"/>
      <c r="I328" s="11"/>
      <c r="J328" s="11"/>
      <c r="K328" s="11"/>
      <c r="L328" s="45" t="str">
        <f t="shared" si="1"/>
        <v/>
      </c>
      <c r="M328" s="46" t="str">
        <f>IFERROR(__xludf.DUMMYFUNCTION("IF(Account!$F328&lt;&gt;"""", VALUE(REGEXREPLACE($I328, ""\,"", ""."")), """")"),"")</f>
        <v/>
      </c>
      <c r="N328" s="47" t="str">
        <f>IF(Account!$F328&lt;&gt;"", DATEVALUE(MID($A328,4,3) &amp; LEFT($A328,3) &amp; RIGHT($A328,4)) + TIMEVALUE($B328), "")</f>
        <v/>
      </c>
      <c r="O328" s="48" t="str">
        <f>IF(Account!$F328&lt;&gt;"", DATEVALUE(MID($A328,4,3) &amp; LEFT($A328,3) &amp; RIGHT($A328,4)), "")</f>
        <v/>
      </c>
      <c r="P328" s="49" t="str">
        <f>IFERROR(VLOOKUP($Q328,Selection!$F:$G,2,false))</f>
        <v/>
      </c>
      <c r="Q328" s="50" t="str">
        <f>IF(AND($X328="change",$H328="EUR"),IF(AND($Z328="Crédit",$N328=$N329),$Q329,IF(AND($Z328="Débit",$N328=$N327),$Q327)),IF(OR(AND(OR($E328&lt;&gt;"",$L328=""),$M328&lt;&gt;0),$A328=""),IFERROR(VLOOKUP($E328,Selection!$E:$F,2,false)),IFERROR(VLOOKUP(SUBSTITUTE($I328,"-","",1),$K329:$Q1119,7,false),VLOOKUP($K328,$K329:$Q1119,7,false))))</f>
        <v/>
      </c>
      <c r="R328" s="49" t="str">
        <f t="shared" si="2"/>
        <v/>
      </c>
      <c r="S328" s="51" t="str">
        <f t="shared" si="3"/>
        <v/>
      </c>
      <c r="T328" s="52" t="str">
        <f t="shared" si="4"/>
        <v/>
      </c>
      <c r="U328" s="46" t="str">
        <f t="shared" si="5"/>
        <v/>
      </c>
      <c r="V328" s="53" t="str">
        <f>IFERROR(__xludf.DUMMYFUNCTION(" IF(Account!$F328&lt;&gt;"""", SPLIT(Account!$F328, "" ""), """")"),"")</f>
        <v/>
      </c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</row>
    <row r="329">
      <c r="A329" s="11"/>
      <c r="B329" s="11"/>
      <c r="C329" s="11"/>
      <c r="D329" s="11"/>
      <c r="E329" s="11"/>
      <c r="F329" s="12"/>
      <c r="G329" s="11"/>
      <c r="H329" s="11"/>
      <c r="I329" s="11"/>
      <c r="J329" s="11"/>
      <c r="K329" s="11"/>
      <c r="L329" s="45" t="str">
        <f t="shared" si="1"/>
        <v/>
      </c>
      <c r="M329" s="46" t="str">
        <f>IFERROR(__xludf.DUMMYFUNCTION("IF(Account!$F329&lt;&gt;"""", VALUE(REGEXREPLACE($I329, ""\,"", ""."")), """")"),"")</f>
        <v/>
      </c>
      <c r="N329" s="47" t="str">
        <f>IF(Account!$F329&lt;&gt;"", DATEVALUE(MID($A329,4,3) &amp; LEFT($A329,3) &amp; RIGHT($A329,4)) + TIMEVALUE($B329), "")</f>
        <v/>
      </c>
      <c r="O329" s="48" t="str">
        <f>IF(Account!$F329&lt;&gt;"", DATEVALUE(MID($A329,4,3) &amp; LEFT($A329,3) &amp; RIGHT($A329,4)), "")</f>
        <v/>
      </c>
      <c r="P329" s="49" t="str">
        <f>IFERROR(VLOOKUP($Q329,Selection!$F:$G,2,false))</f>
        <v/>
      </c>
      <c r="Q329" s="50" t="str">
        <f>IF(AND($X329="change",$H329="EUR"),IF(AND($Z329="Crédit",$N329=$N330),$Q330,IF(AND($Z329="Débit",$N329=$N328),$Q328)),IF(OR(AND(OR($E329&lt;&gt;"",$L329=""),$M329&lt;&gt;0),$A329=""),IFERROR(VLOOKUP($E329,Selection!$E:$F,2,false)),IFERROR(VLOOKUP(SUBSTITUTE($I329,"-","",1),$K330:$Q1119,7,false),VLOOKUP($K329,$K330:$Q1119,7,false))))</f>
        <v/>
      </c>
      <c r="R329" s="49" t="str">
        <f t="shared" si="2"/>
        <v/>
      </c>
      <c r="S329" s="51" t="str">
        <f t="shared" si="3"/>
        <v/>
      </c>
      <c r="T329" s="52" t="str">
        <f t="shared" si="4"/>
        <v/>
      </c>
      <c r="U329" s="46" t="str">
        <f t="shared" si="5"/>
        <v/>
      </c>
      <c r="V329" s="53" t="str">
        <f>IFERROR(__xludf.DUMMYFUNCTION(" IF(Account!$F329&lt;&gt;"""", SPLIT(Account!$F329, "" ""), """")"),"")</f>
        <v/>
      </c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</row>
    <row r="330">
      <c r="A330" s="11"/>
      <c r="B330" s="11"/>
      <c r="C330" s="11"/>
      <c r="D330" s="11"/>
      <c r="E330" s="11"/>
      <c r="F330" s="12"/>
      <c r="G330" s="11"/>
      <c r="H330" s="11"/>
      <c r="I330" s="11"/>
      <c r="J330" s="11"/>
      <c r="K330" s="11"/>
      <c r="L330" s="45" t="str">
        <f t="shared" si="1"/>
        <v/>
      </c>
      <c r="M330" s="46" t="str">
        <f>IFERROR(__xludf.DUMMYFUNCTION("IF(Account!$F330&lt;&gt;"""", VALUE(REGEXREPLACE($I330, ""\,"", ""."")), """")"),"")</f>
        <v/>
      </c>
      <c r="N330" s="47" t="str">
        <f>IF(Account!$F330&lt;&gt;"", DATEVALUE(MID($A330,4,3) &amp; LEFT($A330,3) &amp; RIGHT($A330,4)) + TIMEVALUE($B330), "")</f>
        <v/>
      </c>
      <c r="O330" s="48" t="str">
        <f>IF(Account!$F330&lt;&gt;"", DATEVALUE(MID($A330,4,3) &amp; LEFT($A330,3) &amp; RIGHT($A330,4)), "")</f>
        <v/>
      </c>
      <c r="P330" s="49" t="str">
        <f>IFERROR(VLOOKUP($Q330,Selection!$F:$G,2,false))</f>
        <v/>
      </c>
      <c r="Q330" s="50" t="str">
        <f>IF(AND($X330="change",$H330="EUR"),IF(AND($Z330="Crédit",$N330=$N331),$Q331,IF(AND($Z330="Débit",$N330=$N329),$Q329)),IF(OR(AND(OR($E330&lt;&gt;"",$L330=""),$M330&lt;&gt;0),$A330=""),IFERROR(VLOOKUP($E330,Selection!$E:$F,2,false)),IFERROR(VLOOKUP(SUBSTITUTE($I330,"-","",1),$K331:$Q1119,7,false),VLOOKUP($K330,$K331:$Q1119,7,false))))</f>
        <v/>
      </c>
      <c r="R330" s="49" t="str">
        <f t="shared" si="2"/>
        <v/>
      </c>
      <c r="S330" s="51" t="str">
        <f t="shared" si="3"/>
        <v/>
      </c>
      <c r="T330" s="52" t="str">
        <f t="shared" si="4"/>
        <v/>
      </c>
      <c r="U330" s="46" t="str">
        <f t="shared" si="5"/>
        <v/>
      </c>
      <c r="V330" s="53" t="str">
        <f>IFERROR(__xludf.DUMMYFUNCTION(" IF(Account!$F330&lt;&gt;"""", SPLIT(Account!$F330, "" ""), """")"),"")</f>
        <v/>
      </c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</row>
    <row r="331">
      <c r="A331" s="11"/>
      <c r="B331" s="11"/>
      <c r="C331" s="11"/>
      <c r="D331" s="11"/>
      <c r="E331" s="11"/>
      <c r="F331" s="12"/>
      <c r="G331" s="11"/>
      <c r="H331" s="11"/>
      <c r="I331" s="11"/>
      <c r="J331" s="11"/>
      <c r="K331" s="11"/>
      <c r="L331" s="45" t="str">
        <f t="shared" si="1"/>
        <v/>
      </c>
      <c r="M331" s="46" t="str">
        <f>IFERROR(__xludf.DUMMYFUNCTION("IF(Account!$F331&lt;&gt;"""", VALUE(REGEXREPLACE($I331, ""\,"", ""."")), """")"),"")</f>
        <v/>
      </c>
      <c r="N331" s="47" t="str">
        <f>IF(Account!$F331&lt;&gt;"", DATEVALUE(MID($A331,4,3) &amp; LEFT($A331,3) &amp; RIGHT($A331,4)) + TIMEVALUE($B331), "")</f>
        <v/>
      </c>
      <c r="O331" s="48" t="str">
        <f>IF(Account!$F331&lt;&gt;"", DATEVALUE(MID($A331,4,3) &amp; LEFT($A331,3) &amp; RIGHT($A331,4)), "")</f>
        <v/>
      </c>
      <c r="P331" s="49" t="str">
        <f>IFERROR(VLOOKUP($Q331,Selection!$F:$G,2,false))</f>
        <v/>
      </c>
      <c r="Q331" s="50" t="str">
        <f>IF(AND($X331="change",$H331="EUR"),IF(AND($Z331="Crédit",$N331=$N332),$Q332,IF(AND($Z331="Débit",$N331=$N330),$Q330)),IF(OR(AND(OR($E331&lt;&gt;"",$L331=""),$M331&lt;&gt;0),$A331=""),IFERROR(VLOOKUP($E331,Selection!$E:$F,2,false)),IFERROR(VLOOKUP(SUBSTITUTE($I331,"-","",1),$K332:$Q1119,7,false),VLOOKUP($K331,$K332:$Q1119,7,false))))</f>
        <v/>
      </c>
      <c r="R331" s="49" t="str">
        <f t="shared" si="2"/>
        <v/>
      </c>
      <c r="S331" s="51" t="str">
        <f t="shared" si="3"/>
        <v/>
      </c>
      <c r="T331" s="52" t="str">
        <f t="shared" si="4"/>
        <v/>
      </c>
      <c r="U331" s="46" t="str">
        <f t="shared" si="5"/>
        <v/>
      </c>
      <c r="V331" s="53" t="str">
        <f>IFERROR(__xludf.DUMMYFUNCTION(" IF(Account!$F331&lt;&gt;"""", SPLIT(Account!$F331, "" ""), """")"),"")</f>
        <v/>
      </c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</row>
    <row r="332">
      <c r="A332" s="11"/>
      <c r="B332" s="11"/>
      <c r="C332" s="11"/>
      <c r="D332" s="11"/>
      <c r="E332" s="11"/>
      <c r="F332" s="12"/>
      <c r="G332" s="11"/>
      <c r="H332" s="11"/>
      <c r="I332" s="11"/>
      <c r="J332" s="11"/>
      <c r="K332" s="11"/>
      <c r="L332" s="45" t="str">
        <f t="shared" si="1"/>
        <v/>
      </c>
      <c r="M332" s="46" t="str">
        <f>IFERROR(__xludf.DUMMYFUNCTION("IF(Account!$F332&lt;&gt;"""", VALUE(REGEXREPLACE($I332, ""\,"", ""."")), """")"),"")</f>
        <v/>
      </c>
      <c r="N332" s="47" t="str">
        <f>IF(Account!$F332&lt;&gt;"", DATEVALUE(MID($A332,4,3) &amp; LEFT($A332,3) &amp; RIGHT($A332,4)) + TIMEVALUE($B332), "")</f>
        <v/>
      </c>
      <c r="O332" s="48" t="str">
        <f>IF(Account!$F332&lt;&gt;"", DATEVALUE(MID($A332,4,3) &amp; LEFT($A332,3) &amp; RIGHT($A332,4)), "")</f>
        <v/>
      </c>
      <c r="P332" s="49" t="str">
        <f>IFERROR(VLOOKUP($Q332,Selection!$F:$G,2,false))</f>
        <v/>
      </c>
      <c r="Q332" s="50" t="str">
        <f>IF(AND($X332="change",$H332="EUR"),IF(AND($Z332="Crédit",$N332=$N333),$Q333,IF(AND($Z332="Débit",$N332=$N331),$Q331)),IF(OR(AND(OR($E332&lt;&gt;"",$L332=""),$M332&lt;&gt;0),$A332=""),IFERROR(VLOOKUP($E332,Selection!$E:$F,2,false)),IFERROR(VLOOKUP(SUBSTITUTE($I332,"-","",1),$K333:$Q1119,7,false),VLOOKUP($K332,$K333:$Q1119,7,false))))</f>
        <v/>
      </c>
      <c r="R332" s="49" t="str">
        <f t="shared" si="2"/>
        <v/>
      </c>
      <c r="S332" s="51" t="str">
        <f t="shared" si="3"/>
        <v/>
      </c>
      <c r="T332" s="52" t="str">
        <f t="shared" si="4"/>
        <v/>
      </c>
      <c r="U332" s="46" t="str">
        <f t="shared" si="5"/>
        <v/>
      </c>
      <c r="V332" s="53" t="str">
        <f>IFERROR(__xludf.DUMMYFUNCTION(" IF(Account!$F332&lt;&gt;"""", SPLIT(Account!$F332, "" ""), """")"),"")</f>
        <v/>
      </c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</row>
    <row r="333">
      <c r="A333" s="11"/>
      <c r="B333" s="11"/>
      <c r="C333" s="11"/>
      <c r="D333" s="11"/>
      <c r="E333" s="11"/>
      <c r="F333" s="12"/>
      <c r="G333" s="11"/>
      <c r="H333" s="11"/>
      <c r="I333" s="11"/>
      <c r="J333" s="11"/>
      <c r="K333" s="11"/>
      <c r="L333" s="45" t="str">
        <f t="shared" si="1"/>
        <v/>
      </c>
      <c r="M333" s="46" t="str">
        <f>IFERROR(__xludf.DUMMYFUNCTION("IF(Account!$F333&lt;&gt;"""", VALUE(REGEXREPLACE($I333, ""\,"", ""."")), """")"),"")</f>
        <v/>
      </c>
      <c r="N333" s="47" t="str">
        <f>IF(Account!$F333&lt;&gt;"", DATEVALUE(MID($A333,4,3) &amp; LEFT($A333,3) &amp; RIGHT($A333,4)) + TIMEVALUE($B333), "")</f>
        <v/>
      </c>
      <c r="O333" s="48" t="str">
        <f>IF(Account!$F333&lt;&gt;"", DATEVALUE(MID($A333,4,3) &amp; LEFT($A333,3) &amp; RIGHT($A333,4)), "")</f>
        <v/>
      </c>
      <c r="P333" s="49" t="str">
        <f>IFERROR(VLOOKUP($Q333,Selection!$F:$G,2,false))</f>
        <v/>
      </c>
      <c r="Q333" s="50" t="str">
        <f>IF(AND($X333="change",$H333="EUR"),IF(AND($Z333="Crédit",$N333=$N334),$Q334,IF(AND($Z333="Débit",$N333=$N332),$Q332)),IF(OR(AND(OR($E333&lt;&gt;"",$L333=""),$M333&lt;&gt;0),$A333=""),IFERROR(VLOOKUP($E333,Selection!$E:$F,2,false)),IFERROR(VLOOKUP(SUBSTITUTE($I333,"-","",1),$K334:$Q1119,7,false),VLOOKUP($K333,$K334:$Q1119,7,false))))</f>
        <v/>
      </c>
      <c r="R333" s="49" t="str">
        <f t="shared" si="2"/>
        <v/>
      </c>
      <c r="S333" s="51" t="str">
        <f t="shared" si="3"/>
        <v/>
      </c>
      <c r="T333" s="52" t="str">
        <f t="shared" si="4"/>
        <v/>
      </c>
      <c r="U333" s="46" t="str">
        <f t="shared" si="5"/>
        <v/>
      </c>
      <c r="V333" s="53" t="str">
        <f>IFERROR(__xludf.DUMMYFUNCTION(" IF(Account!$F333&lt;&gt;"""", SPLIT(Account!$F333, "" ""), """")"),"")</f>
        <v/>
      </c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</row>
    <row r="334">
      <c r="A334" s="11"/>
      <c r="B334" s="11"/>
      <c r="C334" s="11"/>
      <c r="D334" s="11"/>
      <c r="E334" s="11"/>
      <c r="F334" s="12"/>
      <c r="G334" s="11"/>
      <c r="H334" s="11"/>
      <c r="I334" s="11"/>
      <c r="J334" s="11"/>
      <c r="K334" s="11"/>
      <c r="L334" s="45" t="str">
        <f t="shared" si="1"/>
        <v/>
      </c>
      <c r="M334" s="46" t="str">
        <f>IFERROR(__xludf.DUMMYFUNCTION("IF(Account!$F334&lt;&gt;"""", VALUE(REGEXREPLACE($I334, ""\,"", ""."")), """")"),"")</f>
        <v/>
      </c>
      <c r="N334" s="47" t="str">
        <f>IF(Account!$F334&lt;&gt;"", DATEVALUE(MID($A334,4,3) &amp; LEFT($A334,3) &amp; RIGHT($A334,4)) + TIMEVALUE($B334), "")</f>
        <v/>
      </c>
      <c r="O334" s="48" t="str">
        <f>IF(Account!$F334&lt;&gt;"", DATEVALUE(MID($A334,4,3) &amp; LEFT($A334,3) &amp; RIGHT($A334,4)), "")</f>
        <v/>
      </c>
      <c r="P334" s="49" t="str">
        <f>IFERROR(VLOOKUP($Q334,Selection!$F:$G,2,false))</f>
        <v/>
      </c>
      <c r="Q334" s="50" t="str">
        <f>IF(AND($X334="change",$H334="EUR"),IF(AND($Z334="Crédit",$N334=$N335),$Q335,IF(AND($Z334="Débit",$N334=$N333),$Q333)),IF(OR(AND(OR($E334&lt;&gt;"",$L334=""),$M334&lt;&gt;0),$A334=""),IFERROR(VLOOKUP($E334,Selection!$E:$F,2,false)),IFERROR(VLOOKUP(SUBSTITUTE($I334,"-","",1),$K335:$Q1119,7,false),VLOOKUP($K334,$K335:$Q1119,7,false))))</f>
        <v/>
      </c>
      <c r="R334" s="49" t="str">
        <f t="shared" si="2"/>
        <v/>
      </c>
      <c r="S334" s="51" t="str">
        <f t="shared" si="3"/>
        <v/>
      </c>
      <c r="T334" s="52" t="str">
        <f t="shared" si="4"/>
        <v/>
      </c>
      <c r="U334" s="46" t="str">
        <f t="shared" si="5"/>
        <v/>
      </c>
      <c r="V334" s="53" t="str">
        <f>IFERROR(__xludf.DUMMYFUNCTION(" IF(Account!$F334&lt;&gt;"""", SPLIT(Account!$F334, "" ""), """")"),"")</f>
        <v/>
      </c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</row>
    <row r="335">
      <c r="A335" s="11"/>
      <c r="B335" s="11"/>
      <c r="C335" s="11"/>
      <c r="D335" s="11"/>
      <c r="E335" s="11"/>
      <c r="F335" s="12"/>
      <c r="G335" s="11"/>
      <c r="H335" s="11"/>
      <c r="I335" s="11"/>
      <c r="J335" s="11"/>
      <c r="K335" s="11"/>
      <c r="L335" s="45" t="str">
        <f t="shared" si="1"/>
        <v/>
      </c>
      <c r="M335" s="46" t="str">
        <f>IFERROR(__xludf.DUMMYFUNCTION("IF(Account!$F335&lt;&gt;"""", VALUE(REGEXREPLACE($I335, ""\,"", ""."")), """")"),"")</f>
        <v/>
      </c>
      <c r="N335" s="47" t="str">
        <f>IF(Account!$F335&lt;&gt;"", DATEVALUE(MID($A335,4,3) &amp; LEFT($A335,3) &amp; RIGHT($A335,4)) + TIMEVALUE($B335), "")</f>
        <v/>
      </c>
      <c r="O335" s="48" t="str">
        <f>IF(Account!$F335&lt;&gt;"", DATEVALUE(MID($A335,4,3) &amp; LEFT($A335,3) &amp; RIGHT($A335,4)), "")</f>
        <v/>
      </c>
      <c r="P335" s="49" t="str">
        <f>IFERROR(VLOOKUP($Q335,Selection!$F:$G,2,false))</f>
        <v/>
      </c>
      <c r="Q335" s="50" t="str">
        <f>IF(AND($X335="change",$H335="EUR"),IF(AND($Z335="Crédit",$N335=$N336),$Q336,IF(AND($Z335="Débit",$N335=$N334),$Q334)),IF(OR(AND(OR($E335&lt;&gt;"",$L335=""),$M335&lt;&gt;0),$A335=""),IFERROR(VLOOKUP($E335,Selection!$E:$F,2,false)),IFERROR(VLOOKUP(SUBSTITUTE($I335,"-","",1),$K336:$Q1119,7,false),VLOOKUP($K335,$K336:$Q1119,7,false))))</f>
        <v/>
      </c>
      <c r="R335" s="49" t="str">
        <f t="shared" si="2"/>
        <v/>
      </c>
      <c r="S335" s="51" t="str">
        <f t="shared" si="3"/>
        <v/>
      </c>
      <c r="T335" s="52" t="str">
        <f t="shared" si="4"/>
        <v/>
      </c>
      <c r="U335" s="46" t="str">
        <f t="shared" si="5"/>
        <v/>
      </c>
      <c r="V335" s="53" t="str">
        <f>IFERROR(__xludf.DUMMYFUNCTION(" IF(Account!$F335&lt;&gt;"""", SPLIT(Account!$F335, "" ""), """")"),"")</f>
        <v/>
      </c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</row>
    <row r="336">
      <c r="A336" s="11"/>
      <c r="B336" s="11"/>
      <c r="C336" s="11"/>
      <c r="D336" s="11"/>
      <c r="E336" s="11"/>
      <c r="F336" s="12"/>
      <c r="G336" s="11"/>
      <c r="H336" s="11"/>
      <c r="I336" s="11"/>
      <c r="J336" s="11"/>
      <c r="K336" s="11"/>
      <c r="L336" s="45" t="str">
        <f t="shared" si="1"/>
        <v/>
      </c>
      <c r="M336" s="46" t="str">
        <f>IFERROR(__xludf.DUMMYFUNCTION("IF(Account!$F336&lt;&gt;"""", VALUE(REGEXREPLACE($I336, ""\,"", ""."")), """")"),"")</f>
        <v/>
      </c>
      <c r="N336" s="47" t="str">
        <f>IF(Account!$F336&lt;&gt;"", DATEVALUE(MID($A336,4,3) &amp; LEFT($A336,3) &amp; RIGHT($A336,4)) + TIMEVALUE($B336), "")</f>
        <v/>
      </c>
      <c r="O336" s="48" t="str">
        <f>IF(Account!$F336&lt;&gt;"", DATEVALUE(MID($A336,4,3) &amp; LEFT($A336,3) &amp; RIGHT($A336,4)), "")</f>
        <v/>
      </c>
      <c r="P336" s="49" t="str">
        <f>IFERROR(VLOOKUP($Q336,Selection!$F:$G,2,false))</f>
        <v/>
      </c>
      <c r="Q336" s="50" t="str">
        <f>IF(AND($X336="change",$H336="EUR"),IF(AND($Z336="Crédit",$N336=$N337),$Q337,IF(AND($Z336="Débit",$N336=$N335),$Q335)),IF(OR(AND(OR($E336&lt;&gt;"",$L336=""),$M336&lt;&gt;0),$A336=""),IFERROR(VLOOKUP($E336,Selection!$E:$F,2,false)),IFERROR(VLOOKUP(SUBSTITUTE($I336,"-","",1),$K337:$Q1119,7,false),VLOOKUP($K336,$K337:$Q1119,7,false))))</f>
        <v/>
      </c>
      <c r="R336" s="49" t="str">
        <f t="shared" si="2"/>
        <v/>
      </c>
      <c r="S336" s="51" t="str">
        <f t="shared" si="3"/>
        <v/>
      </c>
      <c r="T336" s="52" t="str">
        <f t="shared" si="4"/>
        <v/>
      </c>
      <c r="U336" s="46" t="str">
        <f t="shared" si="5"/>
        <v/>
      </c>
      <c r="V336" s="53" t="str">
        <f>IFERROR(__xludf.DUMMYFUNCTION(" IF(Account!$F336&lt;&gt;"""", SPLIT(Account!$F336, "" ""), """")"),"")</f>
        <v/>
      </c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</row>
    <row r="337">
      <c r="A337" s="11"/>
      <c r="B337" s="11"/>
      <c r="C337" s="11"/>
      <c r="D337" s="11"/>
      <c r="E337" s="11"/>
      <c r="F337" s="12"/>
      <c r="G337" s="11"/>
      <c r="H337" s="11"/>
      <c r="I337" s="11"/>
      <c r="J337" s="11"/>
      <c r="K337" s="11"/>
      <c r="L337" s="45" t="str">
        <f t="shared" si="1"/>
        <v/>
      </c>
      <c r="M337" s="46" t="str">
        <f>IFERROR(__xludf.DUMMYFUNCTION("IF(Account!$F337&lt;&gt;"""", VALUE(REGEXREPLACE($I337, ""\,"", ""."")), """")"),"")</f>
        <v/>
      </c>
      <c r="N337" s="47" t="str">
        <f>IF(Account!$F337&lt;&gt;"", DATEVALUE(MID($A337,4,3) &amp; LEFT($A337,3) &amp; RIGHT($A337,4)) + TIMEVALUE($B337), "")</f>
        <v/>
      </c>
      <c r="O337" s="48" t="str">
        <f>IF(Account!$F337&lt;&gt;"", DATEVALUE(MID($A337,4,3) &amp; LEFT($A337,3) &amp; RIGHT($A337,4)), "")</f>
        <v/>
      </c>
      <c r="P337" s="49" t="str">
        <f>IFERROR(VLOOKUP($Q337,Selection!$F:$G,2,false))</f>
        <v/>
      </c>
      <c r="Q337" s="50" t="str">
        <f>IF(AND($X337="change",$H337="EUR"),IF(AND($Z337="Crédit",$N337=$N338),$Q338,IF(AND($Z337="Débit",$N337=$N336),$Q336)),IF(OR(AND(OR($E337&lt;&gt;"",$L337=""),$M337&lt;&gt;0),$A337=""),IFERROR(VLOOKUP($E337,Selection!$E:$F,2,false)),IFERROR(VLOOKUP(SUBSTITUTE($I337,"-","",1),$K338:$Q1119,7,false),VLOOKUP($K337,$K338:$Q1119,7,false))))</f>
        <v/>
      </c>
      <c r="R337" s="49" t="str">
        <f t="shared" si="2"/>
        <v/>
      </c>
      <c r="S337" s="51" t="str">
        <f t="shared" si="3"/>
        <v/>
      </c>
      <c r="T337" s="52" t="str">
        <f t="shared" si="4"/>
        <v/>
      </c>
      <c r="U337" s="46" t="str">
        <f t="shared" si="5"/>
        <v/>
      </c>
      <c r="V337" s="53" t="str">
        <f>IFERROR(__xludf.DUMMYFUNCTION(" IF(Account!$F337&lt;&gt;"""", SPLIT(Account!$F337, "" ""), """")"),"")</f>
        <v/>
      </c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</row>
    <row r="338">
      <c r="A338" s="11"/>
      <c r="B338" s="11"/>
      <c r="C338" s="11"/>
      <c r="D338" s="11"/>
      <c r="E338" s="11"/>
      <c r="F338" s="12"/>
      <c r="G338" s="11"/>
      <c r="H338" s="11"/>
      <c r="I338" s="11"/>
      <c r="J338" s="11"/>
      <c r="K338" s="11"/>
      <c r="L338" s="45" t="str">
        <f t="shared" si="1"/>
        <v/>
      </c>
      <c r="M338" s="46" t="str">
        <f>IFERROR(__xludf.DUMMYFUNCTION("IF(Account!$F338&lt;&gt;"""", VALUE(REGEXREPLACE($I338, ""\,"", ""."")), """")"),"")</f>
        <v/>
      </c>
      <c r="N338" s="47" t="str">
        <f>IF(Account!$F338&lt;&gt;"", DATEVALUE(MID($A338,4,3) &amp; LEFT($A338,3) &amp; RIGHT($A338,4)) + TIMEVALUE($B338), "")</f>
        <v/>
      </c>
      <c r="O338" s="48" t="str">
        <f>IF(Account!$F338&lt;&gt;"", DATEVALUE(MID($A338,4,3) &amp; LEFT($A338,3) &amp; RIGHT($A338,4)), "")</f>
        <v/>
      </c>
      <c r="P338" s="49" t="str">
        <f>IFERROR(VLOOKUP($Q338,Selection!$F:$G,2,false))</f>
        <v/>
      </c>
      <c r="Q338" s="50" t="str">
        <f>IF(AND($X338="change",$H338="EUR"),IF(AND($Z338="Crédit",$N338=$N339),$Q339,IF(AND($Z338="Débit",$N338=$N337),$Q337)),IF(OR(AND(OR($E338&lt;&gt;"",$L338=""),$M338&lt;&gt;0),$A338=""),IFERROR(VLOOKUP($E338,Selection!$E:$F,2,false)),IFERROR(VLOOKUP(SUBSTITUTE($I338,"-","",1),$K339:$Q1119,7,false),VLOOKUP($K338,$K339:$Q1119,7,false))))</f>
        <v/>
      </c>
      <c r="R338" s="49" t="str">
        <f t="shared" si="2"/>
        <v/>
      </c>
      <c r="S338" s="51" t="str">
        <f t="shared" si="3"/>
        <v/>
      </c>
      <c r="T338" s="52" t="str">
        <f t="shared" si="4"/>
        <v/>
      </c>
      <c r="U338" s="46" t="str">
        <f t="shared" si="5"/>
        <v/>
      </c>
      <c r="V338" s="53" t="str">
        <f>IFERROR(__xludf.DUMMYFUNCTION(" IF(Account!$F338&lt;&gt;"""", SPLIT(Account!$F338, "" ""), """")"),"")</f>
        <v/>
      </c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</row>
    <row r="339">
      <c r="A339" s="11"/>
      <c r="B339" s="11"/>
      <c r="C339" s="11"/>
      <c r="D339" s="11"/>
      <c r="E339" s="11"/>
      <c r="F339" s="12"/>
      <c r="G339" s="215"/>
      <c r="H339" s="11"/>
      <c r="I339" s="11"/>
      <c r="J339" s="11"/>
      <c r="K339" s="11"/>
      <c r="L339" s="45" t="str">
        <f t="shared" si="1"/>
        <v/>
      </c>
      <c r="M339" s="46" t="str">
        <f>IFERROR(__xludf.DUMMYFUNCTION("IF(Account!$F339&lt;&gt;"""", VALUE(REGEXREPLACE($I339, ""\,"", ""."")), """")"),"")</f>
        <v/>
      </c>
      <c r="N339" s="47" t="str">
        <f>IF(Account!$F339&lt;&gt;"", DATEVALUE(MID($A339,4,3) &amp; LEFT($A339,3) &amp; RIGHT($A339,4)) + TIMEVALUE($B339), "")</f>
        <v/>
      </c>
      <c r="O339" s="48" t="str">
        <f>IF(Account!$F339&lt;&gt;"", DATEVALUE(MID($A339,4,3) &amp; LEFT($A339,3) &amp; RIGHT($A339,4)), "")</f>
        <v/>
      </c>
      <c r="P339" s="49" t="str">
        <f>IFERROR(VLOOKUP($Q339,Selection!$F:$G,2,false))</f>
        <v/>
      </c>
      <c r="Q339" s="50" t="str">
        <f>IF(AND($X339="change",$H339="EUR"),IF(AND($Z339="Crédit",$N339=$N340),$Q340,IF(AND($Z339="Débit",$N339=$N338),$Q338)),IF(OR(AND(OR($E339&lt;&gt;"",$L339=""),$M339&lt;&gt;0),$A339=""),IFERROR(VLOOKUP($E339,Selection!$E:$F,2,false)),IFERROR(VLOOKUP(SUBSTITUTE($I339,"-","",1),$K340:$Q1119,7,false),VLOOKUP($K339,$K340:$Q1119,7,false))))</f>
        <v/>
      </c>
      <c r="R339" s="49" t="str">
        <f t="shared" si="2"/>
        <v/>
      </c>
      <c r="S339" s="51" t="str">
        <f t="shared" si="3"/>
        <v/>
      </c>
      <c r="T339" s="52" t="str">
        <f t="shared" si="4"/>
        <v/>
      </c>
      <c r="U339" s="46" t="str">
        <f t="shared" si="5"/>
        <v/>
      </c>
      <c r="V339" s="53" t="str">
        <f>IFERROR(__xludf.DUMMYFUNCTION(" IF(Account!$F339&lt;&gt;"""", SPLIT(Account!$F339, "" ""), """")"),"")</f>
        <v/>
      </c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</row>
    <row r="340">
      <c r="A340" s="11"/>
      <c r="B340" s="11"/>
      <c r="C340" s="11"/>
      <c r="D340" s="11"/>
      <c r="E340" s="11"/>
      <c r="F340" s="12"/>
      <c r="G340" s="11"/>
      <c r="H340" s="11"/>
      <c r="I340" s="11"/>
      <c r="J340" s="11"/>
      <c r="K340" s="11"/>
      <c r="L340" s="45" t="str">
        <f t="shared" si="1"/>
        <v/>
      </c>
      <c r="M340" s="46" t="str">
        <f>IFERROR(__xludf.DUMMYFUNCTION("IF(Account!$F340&lt;&gt;"""", VALUE(REGEXREPLACE($I340, ""\,"", ""."")), """")"),"")</f>
        <v/>
      </c>
      <c r="N340" s="47" t="str">
        <f>IF(Account!$F340&lt;&gt;"", DATEVALUE(MID($A340,4,3) &amp; LEFT($A340,3) &amp; RIGHT($A340,4)) + TIMEVALUE($B340), "")</f>
        <v/>
      </c>
      <c r="O340" s="48" t="str">
        <f>IF(Account!$F340&lt;&gt;"", DATEVALUE(MID($A340,4,3) &amp; LEFT($A340,3) &amp; RIGHT($A340,4)), "")</f>
        <v/>
      </c>
      <c r="P340" s="49" t="str">
        <f>IFERROR(VLOOKUP($Q340,Selection!$F:$G,2,false))</f>
        <v/>
      </c>
      <c r="Q340" s="50" t="str">
        <f>IF(AND($X340="change",$H340="EUR"),IF(AND($Z340="Crédit",$N340=$N341),$Q341,IF(AND($Z340="Débit",$N340=$N339),$Q339)),IF(OR(AND(OR($E340&lt;&gt;"",$L340=""),$M340&lt;&gt;0),$A340=""),IFERROR(VLOOKUP($E340,Selection!$E:$F,2,false)),IFERROR(VLOOKUP(SUBSTITUTE($I340,"-","",1),$K341:$Q1119,7,false),VLOOKUP($K340,$K341:$Q1119,7,false))))</f>
        <v/>
      </c>
      <c r="R340" s="49" t="str">
        <f t="shared" si="2"/>
        <v/>
      </c>
      <c r="S340" s="51" t="str">
        <f t="shared" si="3"/>
        <v/>
      </c>
      <c r="T340" s="52" t="str">
        <f t="shared" si="4"/>
        <v/>
      </c>
      <c r="U340" s="46" t="str">
        <f t="shared" si="5"/>
        <v/>
      </c>
      <c r="V340" s="53" t="str">
        <f>IFERROR(__xludf.DUMMYFUNCTION(" IF(Account!$F340&lt;&gt;"""", SPLIT(Account!$F340, "" ""), """")"),"")</f>
        <v/>
      </c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</row>
    <row r="341">
      <c r="A341" s="11"/>
      <c r="B341" s="11"/>
      <c r="C341" s="11"/>
      <c r="D341" s="11"/>
      <c r="E341" s="11"/>
      <c r="F341" s="12"/>
      <c r="G341" s="215"/>
      <c r="H341" s="11"/>
      <c r="I341" s="11"/>
      <c r="J341" s="11"/>
      <c r="K341" s="11"/>
      <c r="L341" s="45" t="str">
        <f t="shared" si="1"/>
        <v/>
      </c>
      <c r="M341" s="46" t="str">
        <f>IFERROR(__xludf.DUMMYFUNCTION("IF(Account!$F341&lt;&gt;"""", VALUE(REGEXREPLACE($I341, ""\,"", ""."")), """")"),"")</f>
        <v/>
      </c>
      <c r="N341" s="47" t="str">
        <f>IF(Account!$F341&lt;&gt;"", DATEVALUE(MID($A341,4,3) &amp; LEFT($A341,3) &amp; RIGHT($A341,4)) + TIMEVALUE($B341), "")</f>
        <v/>
      </c>
      <c r="O341" s="48" t="str">
        <f>IF(Account!$F341&lt;&gt;"", DATEVALUE(MID($A341,4,3) &amp; LEFT($A341,3) &amp; RIGHT($A341,4)), "")</f>
        <v/>
      </c>
      <c r="P341" s="49" t="str">
        <f>IFERROR(VLOOKUP($Q341,Selection!$F:$G,2,false))</f>
        <v/>
      </c>
      <c r="Q341" s="50" t="str">
        <f>IF(AND($X341="change",$H341="EUR"),IF(AND($Z341="Crédit",$N341=$N342),$Q342,IF(AND($Z341="Débit",$N341=$N340),$Q340)),IF(OR(AND(OR($E341&lt;&gt;"",$L341=""),$M341&lt;&gt;0),$A341=""),IFERROR(VLOOKUP($E341,Selection!$E:$F,2,false)),IFERROR(VLOOKUP(SUBSTITUTE($I341,"-","",1),$K342:$Q1119,7,false),VLOOKUP($K341,$K342:$Q1119,7,false))))</f>
        <v/>
      </c>
      <c r="R341" s="49" t="str">
        <f t="shared" si="2"/>
        <v/>
      </c>
      <c r="S341" s="51" t="str">
        <f t="shared" si="3"/>
        <v/>
      </c>
      <c r="T341" s="52" t="str">
        <f t="shared" si="4"/>
        <v/>
      </c>
      <c r="U341" s="46" t="str">
        <f t="shared" si="5"/>
        <v/>
      </c>
      <c r="V341" s="53" t="str">
        <f>IFERROR(__xludf.DUMMYFUNCTION(" IF(Account!$F341&lt;&gt;"""", SPLIT(Account!$F341, "" ""), """")"),"")</f>
        <v/>
      </c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</row>
    <row r="342">
      <c r="A342" s="11"/>
      <c r="B342" s="11"/>
      <c r="C342" s="11"/>
      <c r="D342" s="11"/>
      <c r="E342" s="11"/>
      <c r="F342" s="12"/>
      <c r="G342" s="11"/>
      <c r="H342" s="11"/>
      <c r="I342" s="11"/>
      <c r="J342" s="11"/>
      <c r="K342" s="11"/>
      <c r="L342" s="45" t="str">
        <f t="shared" si="1"/>
        <v/>
      </c>
      <c r="M342" s="46" t="str">
        <f>IFERROR(__xludf.DUMMYFUNCTION("IF(Account!$F342&lt;&gt;"""", VALUE(REGEXREPLACE($I342, ""\,"", ""."")), """")"),"")</f>
        <v/>
      </c>
      <c r="N342" s="47" t="str">
        <f>IF(Account!$F342&lt;&gt;"", DATEVALUE(MID($A342,4,3) &amp; LEFT($A342,3) &amp; RIGHT($A342,4)) + TIMEVALUE($B342), "")</f>
        <v/>
      </c>
      <c r="O342" s="48" t="str">
        <f>IF(Account!$F342&lt;&gt;"", DATEVALUE(MID($A342,4,3) &amp; LEFT($A342,3) &amp; RIGHT($A342,4)), "")</f>
        <v/>
      </c>
      <c r="P342" s="49" t="str">
        <f>IFERROR(VLOOKUP($Q342,Selection!$F:$G,2,false))</f>
        <v/>
      </c>
      <c r="Q342" s="50" t="str">
        <f>IF(AND($X342="change",$H342="EUR"),IF(AND($Z342="Crédit",$N342=$N343),$Q343,IF(AND($Z342="Débit",$N342=$N341),$Q341)),IF(OR(AND(OR($E342&lt;&gt;"",$L342=""),$M342&lt;&gt;0),$A342=""),IFERROR(VLOOKUP($E342,Selection!$E:$F,2,false)),IFERROR(VLOOKUP(SUBSTITUTE($I342,"-","",1),$K343:$Q1119,7,false),VLOOKUP($K342,$K343:$Q1119,7,false))))</f>
        <v/>
      </c>
      <c r="R342" s="49" t="str">
        <f t="shared" si="2"/>
        <v/>
      </c>
      <c r="S342" s="51" t="str">
        <f t="shared" si="3"/>
        <v/>
      </c>
      <c r="T342" s="52" t="str">
        <f t="shared" si="4"/>
        <v/>
      </c>
      <c r="U342" s="46" t="str">
        <f t="shared" si="5"/>
        <v/>
      </c>
      <c r="V342" s="53" t="str">
        <f>IFERROR(__xludf.DUMMYFUNCTION(" IF(Account!$F342&lt;&gt;"""", SPLIT(Account!$F342, "" ""), """")"),"")</f>
        <v/>
      </c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</row>
    <row r="343">
      <c r="A343" s="11"/>
      <c r="B343" s="11"/>
      <c r="C343" s="11"/>
      <c r="D343" s="11"/>
      <c r="E343" s="11"/>
      <c r="F343" s="12"/>
      <c r="G343" s="215"/>
      <c r="H343" s="11"/>
      <c r="I343" s="11"/>
      <c r="J343" s="11"/>
      <c r="K343" s="11"/>
      <c r="L343" s="45" t="str">
        <f t="shared" si="1"/>
        <v/>
      </c>
      <c r="M343" s="46" t="str">
        <f>IFERROR(__xludf.DUMMYFUNCTION("IF(Account!$F343&lt;&gt;"""", VALUE(REGEXREPLACE($I343, ""\,"", ""."")), """")"),"")</f>
        <v/>
      </c>
      <c r="N343" s="47" t="str">
        <f>IF(Account!$F343&lt;&gt;"", DATEVALUE(MID($A343,4,3) &amp; LEFT($A343,3) &amp; RIGHT($A343,4)) + TIMEVALUE($B343), "")</f>
        <v/>
      </c>
      <c r="O343" s="48" t="str">
        <f>IF(Account!$F343&lt;&gt;"", DATEVALUE(MID($A343,4,3) &amp; LEFT($A343,3) &amp; RIGHT($A343,4)), "")</f>
        <v/>
      </c>
      <c r="P343" s="49" t="str">
        <f>IFERROR(VLOOKUP($Q343,Selection!$F:$G,2,false))</f>
        <v/>
      </c>
      <c r="Q343" s="50" t="str">
        <f>IF(AND($X343="change",$H343="EUR"),IF(AND($Z343="Crédit",$N343=$N344),$Q344,IF(AND($Z343="Débit",$N343=$N342),$Q342)),IF(OR(AND(OR($E343&lt;&gt;"",$L343=""),$M343&lt;&gt;0),$A343=""),IFERROR(VLOOKUP($E343,Selection!$E:$F,2,false)),IFERROR(VLOOKUP(SUBSTITUTE($I343,"-","",1),$K344:$Q1119,7,false),VLOOKUP($K343,$K344:$Q1119,7,false))))</f>
        <v/>
      </c>
      <c r="R343" s="49" t="str">
        <f t="shared" si="2"/>
        <v/>
      </c>
      <c r="S343" s="51" t="str">
        <f t="shared" si="3"/>
        <v/>
      </c>
      <c r="T343" s="52" t="str">
        <f t="shared" si="4"/>
        <v/>
      </c>
      <c r="U343" s="46" t="str">
        <f t="shared" si="5"/>
        <v/>
      </c>
      <c r="V343" s="53" t="str">
        <f>IFERROR(__xludf.DUMMYFUNCTION(" IF(Account!$F343&lt;&gt;"""", SPLIT(Account!$F343, "" ""), """")"),"")</f>
        <v/>
      </c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</row>
    <row r="344">
      <c r="A344" s="11"/>
      <c r="B344" s="11"/>
      <c r="C344" s="11"/>
      <c r="D344" s="11"/>
      <c r="E344" s="11"/>
      <c r="F344" s="12"/>
      <c r="G344" s="11"/>
      <c r="H344" s="11"/>
      <c r="I344" s="11"/>
      <c r="J344" s="11"/>
      <c r="K344" s="11"/>
      <c r="L344" s="45" t="str">
        <f t="shared" si="1"/>
        <v/>
      </c>
      <c r="M344" s="46" t="str">
        <f>IFERROR(__xludf.DUMMYFUNCTION("IF(Account!$F344&lt;&gt;"""", VALUE(REGEXREPLACE($I344, ""\,"", ""."")), """")"),"")</f>
        <v/>
      </c>
      <c r="N344" s="47" t="str">
        <f>IF(Account!$F344&lt;&gt;"", DATEVALUE(MID($A344,4,3) &amp; LEFT($A344,3) &amp; RIGHT($A344,4)) + TIMEVALUE($B344), "")</f>
        <v/>
      </c>
      <c r="O344" s="48" t="str">
        <f>IF(Account!$F344&lt;&gt;"", DATEVALUE(MID($A344,4,3) &amp; LEFT($A344,3) &amp; RIGHT($A344,4)), "")</f>
        <v/>
      </c>
      <c r="P344" s="49" t="str">
        <f>IFERROR(VLOOKUP($Q344,Selection!$F:$G,2,false))</f>
        <v/>
      </c>
      <c r="Q344" s="50" t="str">
        <f>IF(AND($X344="change",$H344="EUR"),IF(AND($Z344="Crédit",$N344=$N345),$Q345,IF(AND($Z344="Débit",$N344=$N343),$Q343)),IF(OR(AND(OR($E344&lt;&gt;"",$L344=""),$M344&lt;&gt;0),$A344=""),IFERROR(VLOOKUP($E344,Selection!$E:$F,2,false)),IFERROR(VLOOKUP(SUBSTITUTE($I344,"-","",1),$K345:$Q1119,7,false),VLOOKUP($K344,$K345:$Q1119,7,false))))</f>
        <v/>
      </c>
      <c r="R344" s="49" t="str">
        <f t="shared" si="2"/>
        <v/>
      </c>
      <c r="S344" s="51" t="str">
        <f t="shared" si="3"/>
        <v/>
      </c>
      <c r="T344" s="52" t="str">
        <f t="shared" si="4"/>
        <v/>
      </c>
      <c r="U344" s="46" t="str">
        <f t="shared" si="5"/>
        <v/>
      </c>
      <c r="V344" s="53" t="str">
        <f>IFERROR(__xludf.DUMMYFUNCTION(" IF(Account!$F344&lt;&gt;"""", SPLIT(Account!$F344, "" ""), """")"),"")</f>
        <v/>
      </c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</row>
    <row r="345">
      <c r="A345" s="11"/>
      <c r="B345" s="11"/>
      <c r="C345" s="11"/>
      <c r="D345" s="11"/>
      <c r="E345" s="11"/>
      <c r="F345" s="12"/>
      <c r="G345" s="215"/>
      <c r="H345" s="11"/>
      <c r="I345" s="11"/>
      <c r="J345" s="11"/>
      <c r="K345" s="11"/>
      <c r="L345" s="45" t="str">
        <f t="shared" si="1"/>
        <v/>
      </c>
      <c r="M345" s="46" t="str">
        <f>IFERROR(__xludf.DUMMYFUNCTION("IF(Account!$F345&lt;&gt;"""", VALUE(REGEXREPLACE($I345, ""\,"", ""."")), """")"),"")</f>
        <v/>
      </c>
      <c r="N345" s="47" t="str">
        <f>IF(Account!$F345&lt;&gt;"", DATEVALUE(MID($A345,4,3) &amp; LEFT($A345,3) &amp; RIGHT($A345,4)) + TIMEVALUE($B345), "")</f>
        <v/>
      </c>
      <c r="O345" s="48" t="str">
        <f>IF(Account!$F345&lt;&gt;"", DATEVALUE(MID($A345,4,3) &amp; LEFT($A345,3) &amp; RIGHT($A345,4)), "")</f>
        <v/>
      </c>
      <c r="P345" s="49" t="str">
        <f>IFERROR(VLOOKUP($Q345,Selection!$F:$G,2,false))</f>
        <v/>
      </c>
      <c r="Q345" s="50" t="str">
        <f>IF(AND($X345="change",$H345="EUR"),IF(AND($Z345="Crédit",$N345=$N346),$Q346,IF(AND($Z345="Débit",$N345=$N344),$Q344)),IF(OR(AND(OR($E345&lt;&gt;"",$L345=""),$M345&lt;&gt;0),$A345=""),IFERROR(VLOOKUP($E345,Selection!$E:$F,2,false)),IFERROR(VLOOKUP(SUBSTITUTE($I345,"-","",1),$K346:$Q1119,7,false),VLOOKUP($K345,$K346:$Q1119,7,false))))</f>
        <v/>
      </c>
      <c r="R345" s="49" t="str">
        <f t="shared" si="2"/>
        <v/>
      </c>
      <c r="S345" s="51" t="str">
        <f t="shared" si="3"/>
        <v/>
      </c>
      <c r="T345" s="52" t="str">
        <f t="shared" si="4"/>
        <v/>
      </c>
      <c r="U345" s="46" t="str">
        <f t="shared" si="5"/>
        <v/>
      </c>
      <c r="V345" s="53" t="str">
        <f>IFERROR(__xludf.DUMMYFUNCTION(" IF(Account!$F345&lt;&gt;"""", SPLIT(Account!$F345, "" ""), """")"),"")</f>
        <v/>
      </c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</row>
    <row r="346">
      <c r="A346" s="11"/>
      <c r="B346" s="11"/>
      <c r="C346" s="11"/>
      <c r="D346" s="11"/>
      <c r="E346" s="11"/>
      <c r="F346" s="12"/>
      <c r="G346" s="215"/>
      <c r="H346" s="11"/>
      <c r="I346" s="11"/>
      <c r="J346" s="11"/>
      <c r="K346" s="11"/>
      <c r="L346" s="45" t="str">
        <f t="shared" si="1"/>
        <v/>
      </c>
      <c r="M346" s="46" t="str">
        <f>IFERROR(__xludf.DUMMYFUNCTION("IF(Account!$F346&lt;&gt;"""", VALUE(REGEXREPLACE($I346, ""\,"", ""."")), """")"),"")</f>
        <v/>
      </c>
      <c r="N346" s="47" t="str">
        <f>IF(Account!$F346&lt;&gt;"", DATEVALUE(MID($A346,4,3) &amp; LEFT($A346,3) &amp; RIGHT($A346,4)) + TIMEVALUE($B346), "")</f>
        <v/>
      </c>
      <c r="O346" s="48" t="str">
        <f>IF(Account!$F346&lt;&gt;"", DATEVALUE(MID($A346,4,3) &amp; LEFT($A346,3) &amp; RIGHT($A346,4)), "")</f>
        <v/>
      </c>
      <c r="P346" s="49" t="str">
        <f>IFERROR(VLOOKUP($Q346,Selection!$F:$G,2,false))</f>
        <v/>
      </c>
      <c r="Q346" s="50" t="str">
        <f>IF(AND($X346="change",$H346="EUR"),IF(AND($Z346="Crédit",$N346=$N347),$Q347,IF(AND($Z346="Débit",$N346=$N345),$Q345)),IF(OR(AND(OR($E346&lt;&gt;"",$L346=""),$M346&lt;&gt;0),$A346=""),IFERROR(VLOOKUP($E346,Selection!$E:$F,2,false)),IFERROR(VLOOKUP(SUBSTITUTE($I346,"-","",1),$K347:$Q1119,7,false),VLOOKUP($K346,$K347:$Q1119,7,false))))</f>
        <v/>
      </c>
      <c r="R346" s="49" t="str">
        <f t="shared" si="2"/>
        <v/>
      </c>
      <c r="S346" s="51" t="str">
        <f t="shared" si="3"/>
        <v/>
      </c>
      <c r="T346" s="52" t="str">
        <f t="shared" si="4"/>
        <v/>
      </c>
      <c r="U346" s="46" t="str">
        <f t="shared" si="5"/>
        <v/>
      </c>
      <c r="V346" s="53" t="str">
        <f>IFERROR(__xludf.DUMMYFUNCTION(" IF(Account!$F346&lt;&gt;"""", SPLIT(Account!$F346, "" ""), """")"),"")</f>
        <v/>
      </c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</row>
    <row r="347">
      <c r="A347" s="11"/>
      <c r="B347" s="11"/>
      <c r="C347" s="11"/>
      <c r="D347" s="11"/>
      <c r="E347" s="11"/>
      <c r="F347" s="12"/>
      <c r="G347" s="215"/>
      <c r="H347" s="11"/>
      <c r="I347" s="11"/>
      <c r="J347" s="11"/>
      <c r="K347" s="11"/>
      <c r="L347" s="45" t="str">
        <f t="shared" si="1"/>
        <v/>
      </c>
      <c r="M347" s="46" t="str">
        <f>IFERROR(__xludf.DUMMYFUNCTION("IF(Account!$F347&lt;&gt;"""", VALUE(REGEXREPLACE($I347, ""\,"", ""."")), """")"),"")</f>
        <v/>
      </c>
      <c r="N347" s="47" t="str">
        <f>IF(Account!$F347&lt;&gt;"", DATEVALUE(MID($A347,4,3) &amp; LEFT($A347,3) &amp; RIGHT($A347,4)) + TIMEVALUE($B347), "")</f>
        <v/>
      </c>
      <c r="O347" s="48" t="str">
        <f>IF(Account!$F347&lt;&gt;"", DATEVALUE(MID($A347,4,3) &amp; LEFT($A347,3) &amp; RIGHT($A347,4)), "")</f>
        <v/>
      </c>
      <c r="P347" s="49" t="str">
        <f>IFERROR(VLOOKUP($Q347,Selection!$F:$G,2,false))</f>
        <v/>
      </c>
      <c r="Q347" s="50" t="str">
        <f>IF(AND($X347="change",$H347="EUR"),IF(AND($Z347="Crédit",$N347=$N348),$Q348,IF(AND($Z347="Débit",$N347=$N346),$Q346)),IF(OR(AND(OR($E347&lt;&gt;"",$L347=""),$M347&lt;&gt;0),$A347=""),IFERROR(VLOOKUP($E347,Selection!$E:$F,2,false)),IFERROR(VLOOKUP(SUBSTITUTE($I347,"-","",1),$K348:$Q1119,7,false),VLOOKUP($K347,$K348:$Q1119,7,false))))</f>
        <v/>
      </c>
      <c r="R347" s="49" t="str">
        <f t="shared" si="2"/>
        <v/>
      </c>
      <c r="S347" s="51" t="str">
        <f t="shared" si="3"/>
        <v/>
      </c>
      <c r="T347" s="52" t="str">
        <f t="shared" si="4"/>
        <v/>
      </c>
      <c r="U347" s="46" t="str">
        <f t="shared" si="5"/>
        <v/>
      </c>
      <c r="V347" s="53" t="str">
        <f>IFERROR(__xludf.DUMMYFUNCTION(" IF(Account!$F347&lt;&gt;"""", SPLIT(Account!$F347, "" ""), """")"),"")</f>
        <v/>
      </c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</row>
    <row r="348">
      <c r="A348" s="11"/>
      <c r="B348" s="11"/>
      <c r="C348" s="11"/>
      <c r="D348" s="11"/>
      <c r="E348" s="11"/>
      <c r="F348" s="12"/>
      <c r="G348" s="215"/>
      <c r="H348" s="11"/>
      <c r="I348" s="11"/>
      <c r="J348" s="11"/>
      <c r="K348" s="11"/>
      <c r="L348" s="45" t="str">
        <f t="shared" si="1"/>
        <v/>
      </c>
      <c r="M348" s="46" t="str">
        <f>IFERROR(__xludf.DUMMYFUNCTION("IF(Account!$F348&lt;&gt;"""", VALUE(REGEXREPLACE($I348, ""\,"", ""."")), """")"),"")</f>
        <v/>
      </c>
      <c r="N348" s="47" t="str">
        <f>IF(Account!$F348&lt;&gt;"", DATEVALUE(MID($A348,4,3) &amp; LEFT($A348,3) &amp; RIGHT($A348,4)) + TIMEVALUE($B348), "")</f>
        <v/>
      </c>
      <c r="O348" s="48" t="str">
        <f>IF(Account!$F348&lt;&gt;"", DATEVALUE(MID($A348,4,3) &amp; LEFT($A348,3) &amp; RIGHT($A348,4)), "")</f>
        <v/>
      </c>
      <c r="P348" s="49" t="str">
        <f>IFERROR(VLOOKUP($Q348,Selection!$F:$G,2,false))</f>
        <v/>
      </c>
      <c r="Q348" s="50" t="str">
        <f>IF(AND($X348="change",$H348="EUR"),IF(AND($Z348="Crédit",$N348=$N349),$Q349,IF(AND($Z348="Débit",$N348=$N347),$Q347)),IF(OR(AND(OR($E348&lt;&gt;"",$L348=""),$M348&lt;&gt;0),$A348=""),IFERROR(VLOOKUP($E348,Selection!$E:$F,2,false)),IFERROR(VLOOKUP(SUBSTITUTE($I348,"-","",1),$K349:$Q1119,7,false),VLOOKUP($K348,$K349:$Q1119,7,false))))</f>
        <v/>
      </c>
      <c r="R348" s="49" t="str">
        <f t="shared" si="2"/>
        <v/>
      </c>
      <c r="S348" s="51" t="str">
        <f t="shared" si="3"/>
        <v/>
      </c>
      <c r="T348" s="52" t="str">
        <f t="shared" si="4"/>
        <v/>
      </c>
      <c r="U348" s="46" t="str">
        <f t="shared" si="5"/>
        <v/>
      </c>
      <c r="V348" s="53" t="str">
        <f>IFERROR(__xludf.DUMMYFUNCTION(" IF(Account!$F348&lt;&gt;"""", SPLIT(Account!$F348, "" ""), """")"),"")</f>
        <v/>
      </c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</row>
    <row r="349">
      <c r="A349" s="11"/>
      <c r="B349" s="11"/>
      <c r="C349" s="11"/>
      <c r="D349" s="11"/>
      <c r="E349" s="11"/>
      <c r="F349" s="12"/>
      <c r="G349" s="11"/>
      <c r="H349" s="11"/>
      <c r="I349" s="11"/>
      <c r="J349" s="11"/>
      <c r="K349" s="11"/>
      <c r="L349" s="45" t="str">
        <f t="shared" si="1"/>
        <v/>
      </c>
      <c r="M349" s="46" t="str">
        <f>IFERROR(__xludf.DUMMYFUNCTION("IF(Account!$F349&lt;&gt;"""", VALUE(REGEXREPLACE($I349, ""\,"", ""."")), """")"),"")</f>
        <v/>
      </c>
      <c r="N349" s="47" t="str">
        <f>IF(Account!$F349&lt;&gt;"", DATEVALUE(MID($A349,4,3) &amp; LEFT($A349,3) &amp; RIGHT($A349,4)) + TIMEVALUE($B349), "")</f>
        <v/>
      </c>
      <c r="O349" s="48" t="str">
        <f>IF(Account!$F349&lt;&gt;"", DATEVALUE(MID($A349,4,3) &amp; LEFT($A349,3) &amp; RIGHT($A349,4)), "")</f>
        <v/>
      </c>
      <c r="P349" s="49" t="str">
        <f>IFERROR(VLOOKUP($Q349,Selection!$F:$G,2,false))</f>
        <v/>
      </c>
      <c r="Q349" s="50" t="str">
        <f>IF(AND($X349="change",$H349="EUR"),IF(AND($Z349="Crédit",$N349=$N350),$Q350,IF(AND($Z349="Débit",$N349=$N348),$Q348)),IF(OR(AND(OR($E349&lt;&gt;"",$L349=""),$M349&lt;&gt;0),$A349=""),IFERROR(VLOOKUP($E349,Selection!$E:$F,2,false)),IFERROR(VLOOKUP(SUBSTITUTE($I349,"-","",1),$K350:$Q1119,7,false),VLOOKUP($K349,$K350:$Q1119,7,false))))</f>
        <v/>
      </c>
      <c r="R349" s="49" t="str">
        <f t="shared" si="2"/>
        <v/>
      </c>
      <c r="S349" s="51" t="str">
        <f t="shared" si="3"/>
        <v/>
      </c>
      <c r="T349" s="52" t="str">
        <f t="shared" si="4"/>
        <v/>
      </c>
      <c r="U349" s="46" t="str">
        <f t="shared" si="5"/>
        <v/>
      </c>
      <c r="V349" s="53" t="str">
        <f>IFERROR(__xludf.DUMMYFUNCTION(" IF(Account!$F349&lt;&gt;"""", SPLIT(Account!$F349, "" ""), """")"),"")</f>
        <v/>
      </c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</row>
    <row r="350">
      <c r="A350" s="11"/>
      <c r="B350" s="11"/>
      <c r="C350" s="11"/>
      <c r="D350" s="11"/>
      <c r="E350" s="11"/>
      <c r="F350" s="12"/>
      <c r="G350" s="215"/>
      <c r="H350" s="11"/>
      <c r="I350" s="11"/>
      <c r="J350" s="11"/>
      <c r="K350" s="11"/>
      <c r="L350" s="45" t="str">
        <f t="shared" si="1"/>
        <v/>
      </c>
      <c r="M350" s="46" t="str">
        <f>IFERROR(__xludf.DUMMYFUNCTION("IF(Account!$F350&lt;&gt;"""", VALUE(REGEXREPLACE($I350, ""\,"", ""."")), """")"),"")</f>
        <v/>
      </c>
      <c r="N350" s="47" t="str">
        <f>IF(Account!$F350&lt;&gt;"", DATEVALUE(MID($A350,4,3) &amp; LEFT($A350,3) &amp; RIGHT($A350,4)) + TIMEVALUE($B350), "")</f>
        <v/>
      </c>
      <c r="O350" s="48" t="str">
        <f>IF(Account!$F350&lt;&gt;"", DATEVALUE(MID($A350,4,3) &amp; LEFT($A350,3) &amp; RIGHT($A350,4)), "")</f>
        <v/>
      </c>
      <c r="P350" s="49" t="str">
        <f>IFERROR(VLOOKUP($Q350,Selection!$F:$G,2,false))</f>
        <v/>
      </c>
      <c r="Q350" s="50" t="str">
        <f>IF(AND($X350="change",$H350="EUR"),IF(AND($Z350="Crédit",$N350=$N351),$Q351,IF(AND($Z350="Débit",$N350=$N349),$Q349)),IF(OR(AND(OR($E350&lt;&gt;"",$L350=""),$M350&lt;&gt;0),$A350=""),IFERROR(VLOOKUP($E350,Selection!$E:$F,2,false)),IFERROR(VLOOKUP(SUBSTITUTE($I350,"-","",1),$K351:$Q1119,7,false),VLOOKUP($K350,$K351:$Q1119,7,false))))</f>
        <v/>
      </c>
      <c r="R350" s="49" t="str">
        <f t="shared" si="2"/>
        <v/>
      </c>
      <c r="S350" s="51" t="str">
        <f t="shared" si="3"/>
        <v/>
      </c>
      <c r="T350" s="52" t="str">
        <f t="shared" si="4"/>
        <v/>
      </c>
      <c r="U350" s="46" t="str">
        <f t="shared" si="5"/>
        <v/>
      </c>
      <c r="V350" s="53" t="str">
        <f>IFERROR(__xludf.DUMMYFUNCTION(" IF(Account!$F350&lt;&gt;"""", SPLIT(Account!$F350, "" ""), """")"),"")</f>
        <v/>
      </c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</row>
    <row r="351">
      <c r="A351" s="11"/>
      <c r="B351" s="11"/>
      <c r="C351" s="11"/>
      <c r="D351" s="11"/>
      <c r="E351" s="11"/>
      <c r="F351" s="12"/>
      <c r="G351" s="11"/>
      <c r="H351" s="11"/>
      <c r="I351" s="11"/>
      <c r="J351" s="11"/>
      <c r="K351" s="11"/>
      <c r="L351" s="45" t="str">
        <f t="shared" si="1"/>
        <v/>
      </c>
      <c r="M351" s="46" t="str">
        <f>IFERROR(__xludf.DUMMYFUNCTION("IF(Account!$F351&lt;&gt;"""", VALUE(REGEXREPLACE($I351, ""\,"", ""."")), """")"),"")</f>
        <v/>
      </c>
      <c r="N351" s="47" t="str">
        <f>IF(Account!$F351&lt;&gt;"", DATEVALUE(MID($A351,4,3) &amp; LEFT($A351,3) &amp; RIGHT($A351,4)) + TIMEVALUE($B351), "")</f>
        <v/>
      </c>
      <c r="O351" s="48" t="str">
        <f>IF(Account!$F351&lt;&gt;"", DATEVALUE(MID($A351,4,3) &amp; LEFT($A351,3) &amp; RIGHT($A351,4)), "")</f>
        <v/>
      </c>
      <c r="P351" s="49" t="str">
        <f>IFERROR(VLOOKUP($Q351,Selection!$F:$G,2,false))</f>
        <v/>
      </c>
      <c r="Q351" s="50" t="str">
        <f>IF(AND($X351="change",$H351="EUR"),IF(AND($Z351="Crédit",$N351=$N352),$Q352,IF(AND($Z351="Débit",$N351=$N350),$Q350)),IF(OR(AND(OR($E351&lt;&gt;"",$L351=""),$M351&lt;&gt;0),$A351=""),IFERROR(VLOOKUP($E351,Selection!$E:$F,2,false)),IFERROR(VLOOKUP(SUBSTITUTE($I351,"-","",1),$K352:$Q1119,7,false),VLOOKUP($K351,$K352:$Q1119,7,false))))</f>
        <v/>
      </c>
      <c r="R351" s="49" t="str">
        <f t="shared" si="2"/>
        <v/>
      </c>
      <c r="S351" s="51" t="str">
        <f t="shared" si="3"/>
        <v/>
      </c>
      <c r="T351" s="52" t="str">
        <f t="shared" si="4"/>
        <v/>
      </c>
      <c r="U351" s="46" t="str">
        <f t="shared" si="5"/>
        <v/>
      </c>
      <c r="V351" s="53" t="str">
        <f>IFERROR(__xludf.DUMMYFUNCTION(" IF(Account!$F351&lt;&gt;"""", SPLIT(Account!$F351, "" ""), """")"),"")</f>
        <v/>
      </c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</row>
    <row r="352">
      <c r="A352" s="11"/>
      <c r="B352" s="11"/>
      <c r="C352" s="11"/>
      <c r="D352" s="11"/>
      <c r="E352" s="11"/>
      <c r="F352" s="12"/>
      <c r="G352" s="215"/>
      <c r="H352" s="11"/>
      <c r="I352" s="11"/>
      <c r="J352" s="11"/>
      <c r="K352" s="11"/>
      <c r="L352" s="45" t="str">
        <f t="shared" si="1"/>
        <v/>
      </c>
      <c r="M352" s="46" t="str">
        <f>IFERROR(__xludf.DUMMYFUNCTION("IF(Account!$F352&lt;&gt;"""", VALUE(REGEXREPLACE($I352, ""\,"", ""."")), """")"),"")</f>
        <v/>
      </c>
      <c r="N352" s="47" t="str">
        <f>IF(Account!$F352&lt;&gt;"", DATEVALUE(MID($A352,4,3) &amp; LEFT($A352,3) &amp; RIGHT($A352,4)) + TIMEVALUE($B352), "")</f>
        <v/>
      </c>
      <c r="O352" s="48" t="str">
        <f>IF(Account!$F352&lt;&gt;"", DATEVALUE(MID($A352,4,3) &amp; LEFT($A352,3) &amp; RIGHT($A352,4)), "")</f>
        <v/>
      </c>
      <c r="P352" s="49" t="str">
        <f>IFERROR(VLOOKUP($Q352,Selection!$F:$G,2,false))</f>
        <v/>
      </c>
      <c r="Q352" s="50" t="str">
        <f>IF(AND($X352="change",$H352="EUR"),IF(AND($Z352="Crédit",$N352=$N353),$Q353,IF(AND($Z352="Débit",$N352=$N351),$Q351)),IF(OR(AND(OR($E352&lt;&gt;"",$L352=""),$M352&lt;&gt;0),$A352=""),IFERROR(VLOOKUP($E352,Selection!$E:$F,2,false)),IFERROR(VLOOKUP(SUBSTITUTE($I352,"-","",1),$K353:$Q1119,7,false),VLOOKUP($K352,$K353:$Q1119,7,false))))</f>
        <v/>
      </c>
      <c r="R352" s="49" t="str">
        <f t="shared" si="2"/>
        <v/>
      </c>
      <c r="S352" s="51" t="str">
        <f t="shared" si="3"/>
        <v/>
      </c>
      <c r="T352" s="52" t="str">
        <f t="shared" si="4"/>
        <v/>
      </c>
      <c r="U352" s="46" t="str">
        <f t="shared" si="5"/>
        <v/>
      </c>
      <c r="V352" s="53" t="str">
        <f>IFERROR(__xludf.DUMMYFUNCTION(" IF(Account!$F352&lt;&gt;"""", SPLIT(Account!$F352, "" ""), """")"),"")</f>
        <v/>
      </c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</row>
    <row r="353">
      <c r="A353" s="11"/>
      <c r="B353" s="11"/>
      <c r="C353" s="11"/>
      <c r="D353" s="11"/>
      <c r="E353" s="11"/>
      <c r="F353" s="12"/>
      <c r="G353" s="11"/>
      <c r="H353" s="11"/>
      <c r="I353" s="11"/>
      <c r="J353" s="11"/>
      <c r="K353" s="11"/>
      <c r="L353" s="45" t="str">
        <f t="shared" si="1"/>
        <v/>
      </c>
      <c r="M353" s="46" t="str">
        <f>IFERROR(__xludf.DUMMYFUNCTION("IF(Account!$F353&lt;&gt;"""", VALUE(REGEXREPLACE($I353, ""\,"", ""."")), """")"),"")</f>
        <v/>
      </c>
      <c r="N353" s="47" t="str">
        <f>IF(Account!$F353&lt;&gt;"", DATEVALUE(MID($A353,4,3) &amp; LEFT($A353,3) &amp; RIGHT($A353,4)) + TIMEVALUE($B353), "")</f>
        <v/>
      </c>
      <c r="O353" s="48" t="str">
        <f>IF(Account!$F353&lt;&gt;"", DATEVALUE(MID($A353,4,3) &amp; LEFT($A353,3) &amp; RIGHT($A353,4)), "")</f>
        <v/>
      </c>
      <c r="P353" s="49" t="str">
        <f>IFERROR(VLOOKUP($Q353,Selection!$F:$G,2,false))</f>
        <v/>
      </c>
      <c r="Q353" s="50" t="str">
        <f>IF(AND($X353="change",$H353="EUR"),IF(AND($Z353="Crédit",$N353=$N354),$Q354,IF(AND($Z353="Débit",$N353=$N352),$Q352)),IF(OR(AND(OR($E353&lt;&gt;"",$L353=""),$M353&lt;&gt;0),$A353=""),IFERROR(VLOOKUP($E353,Selection!$E:$F,2,false)),IFERROR(VLOOKUP(SUBSTITUTE($I353,"-","",1),$K354:$Q1119,7,false),VLOOKUP($K353,$K354:$Q1119,7,false))))</f>
        <v/>
      </c>
      <c r="R353" s="49" t="str">
        <f t="shared" si="2"/>
        <v/>
      </c>
      <c r="S353" s="51" t="str">
        <f t="shared" si="3"/>
        <v/>
      </c>
      <c r="T353" s="52" t="str">
        <f t="shared" si="4"/>
        <v/>
      </c>
      <c r="U353" s="46" t="str">
        <f t="shared" si="5"/>
        <v/>
      </c>
      <c r="V353" s="53" t="str">
        <f>IFERROR(__xludf.DUMMYFUNCTION(" IF(Account!$F353&lt;&gt;"""", SPLIT(Account!$F353, "" ""), """")"),"")</f>
        <v/>
      </c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</row>
    <row r="354">
      <c r="A354" s="11"/>
      <c r="B354" s="11"/>
      <c r="C354" s="11"/>
      <c r="D354" s="11"/>
      <c r="E354" s="11"/>
      <c r="F354" s="12"/>
      <c r="G354" s="215"/>
      <c r="H354" s="11"/>
      <c r="I354" s="11"/>
      <c r="J354" s="11"/>
      <c r="K354" s="11"/>
      <c r="L354" s="45" t="str">
        <f t="shared" si="1"/>
        <v/>
      </c>
      <c r="M354" s="46" t="str">
        <f>IFERROR(__xludf.DUMMYFUNCTION("IF(Account!$F354&lt;&gt;"""", VALUE(REGEXREPLACE($I354, ""\,"", ""."")), """")"),"")</f>
        <v/>
      </c>
      <c r="N354" s="47" t="str">
        <f>IF(Account!$F354&lt;&gt;"", DATEVALUE(MID($A354,4,3) &amp; LEFT($A354,3) &amp; RIGHT($A354,4)) + TIMEVALUE($B354), "")</f>
        <v/>
      </c>
      <c r="O354" s="48" t="str">
        <f>IF(Account!$F354&lt;&gt;"", DATEVALUE(MID($A354,4,3) &amp; LEFT($A354,3) &amp; RIGHT($A354,4)), "")</f>
        <v/>
      </c>
      <c r="P354" s="49" t="str">
        <f>IFERROR(VLOOKUP($Q354,Selection!$F:$G,2,false))</f>
        <v/>
      </c>
      <c r="Q354" s="50" t="str">
        <f>IF(AND($X354="change",$H354="EUR"),IF(AND($Z354="Crédit",$N354=$N355),$Q355,IF(AND($Z354="Débit",$N354=$N353),$Q353)),IF(OR(AND(OR($E354&lt;&gt;"",$L354=""),$M354&lt;&gt;0),$A354=""),IFERROR(VLOOKUP($E354,Selection!$E:$F,2,false)),IFERROR(VLOOKUP(SUBSTITUTE($I354,"-","",1),$K355:$Q1119,7,false),VLOOKUP($K354,$K355:$Q1119,7,false))))</f>
        <v/>
      </c>
      <c r="R354" s="49" t="str">
        <f t="shared" si="2"/>
        <v/>
      </c>
      <c r="S354" s="51" t="str">
        <f t="shared" si="3"/>
        <v/>
      </c>
      <c r="T354" s="52" t="str">
        <f t="shared" si="4"/>
        <v/>
      </c>
      <c r="U354" s="46" t="str">
        <f t="shared" si="5"/>
        <v/>
      </c>
      <c r="V354" s="53" t="str">
        <f>IFERROR(__xludf.DUMMYFUNCTION(" IF(Account!$F354&lt;&gt;"""", SPLIT(Account!$F354, "" ""), """")"),"")</f>
        <v/>
      </c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</row>
    <row r="355">
      <c r="A355" s="11"/>
      <c r="B355" s="11"/>
      <c r="C355" s="11"/>
      <c r="D355" s="11"/>
      <c r="E355" s="11"/>
      <c r="F355" s="12"/>
      <c r="G355" s="11"/>
      <c r="H355" s="11"/>
      <c r="I355" s="11"/>
      <c r="J355" s="11"/>
      <c r="K355" s="11"/>
      <c r="L355" s="45" t="str">
        <f t="shared" si="1"/>
        <v/>
      </c>
      <c r="M355" s="46" t="str">
        <f>IFERROR(__xludf.DUMMYFUNCTION("IF(Account!$F355&lt;&gt;"""", VALUE(REGEXREPLACE($I355, ""\,"", ""."")), """")"),"")</f>
        <v/>
      </c>
      <c r="N355" s="47" t="str">
        <f>IF(Account!$F355&lt;&gt;"", DATEVALUE(MID($A355,4,3) &amp; LEFT($A355,3) &amp; RIGHT($A355,4)) + TIMEVALUE($B355), "")</f>
        <v/>
      </c>
      <c r="O355" s="48" t="str">
        <f>IF(Account!$F355&lt;&gt;"", DATEVALUE(MID($A355,4,3) &amp; LEFT($A355,3) &amp; RIGHT($A355,4)), "")</f>
        <v/>
      </c>
      <c r="P355" s="49" t="str">
        <f>IFERROR(VLOOKUP($Q355,Selection!$F:$G,2,false))</f>
        <v/>
      </c>
      <c r="Q355" s="50" t="str">
        <f>IF(AND($X355="change",$H355="EUR"),IF(AND($Z355="Crédit",$N355=$N356),$Q356,IF(AND($Z355="Débit",$N355=$N354),$Q354)),IF(OR(AND(OR($E355&lt;&gt;"",$L355=""),$M355&lt;&gt;0),$A355=""),IFERROR(VLOOKUP($E355,Selection!$E:$F,2,false)),IFERROR(VLOOKUP(SUBSTITUTE($I355,"-","",1),$K356:$Q1119,7,false),VLOOKUP($K355,$K356:$Q1119,7,false))))</f>
        <v/>
      </c>
      <c r="R355" s="49" t="str">
        <f t="shared" si="2"/>
        <v/>
      </c>
      <c r="S355" s="51" t="str">
        <f t="shared" si="3"/>
        <v/>
      </c>
      <c r="T355" s="52" t="str">
        <f t="shared" si="4"/>
        <v/>
      </c>
      <c r="U355" s="46" t="str">
        <f t="shared" si="5"/>
        <v/>
      </c>
      <c r="V355" s="53" t="str">
        <f>IFERROR(__xludf.DUMMYFUNCTION(" IF(Account!$F355&lt;&gt;"""", SPLIT(Account!$F355, "" ""), """")"),"")</f>
        <v/>
      </c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</row>
    <row r="356">
      <c r="A356" s="11"/>
      <c r="B356" s="11"/>
      <c r="C356" s="11"/>
      <c r="D356" s="11"/>
      <c r="E356" s="11"/>
      <c r="F356" s="12"/>
      <c r="G356" s="215"/>
      <c r="H356" s="11"/>
      <c r="I356" s="11"/>
      <c r="J356" s="11"/>
      <c r="K356" s="11"/>
      <c r="L356" s="45" t="str">
        <f t="shared" si="1"/>
        <v/>
      </c>
      <c r="M356" s="46" t="str">
        <f>IFERROR(__xludf.DUMMYFUNCTION("IF(Account!$F356&lt;&gt;"""", VALUE(REGEXREPLACE($I356, ""\,"", ""."")), """")"),"")</f>
        <v/>
      </c>
      <c r="N356" s="47" t="str">
        <f>IF(Account!$F356&lt;&gt;"", DATEVALUE(MID($A356,4,3) &amp; LEFT($A356,3) &amp; RIGHT($A356,4)) + TIMEVALUE($B356), "")</f>
        <v/>
      </c>
      <c r="O356" s="48" t="str">
        <f>IF(Account!$F356&lt;&gt;"", DATEVALUE(MID($A356,4,3) &amp; LEFT($A356,3) &amp; RIGHT($A356,4)), "")</f>
        <v/>
      </c>
      <c r="P356" s="49" t="str">
        <f>IFERROR(VLOOKUP($Q356,Selection!$F:$G,2,false))</f>
        <v/>
      </c>
      <c r="Q356" s="50" t="str">
        <f>IF(AND($X356="change",$H356="EUR"),IF(AND($Z356="Crédit",$N356=$N357),$Q357,IF(AND($Z356="Débit",$N356=$N355),$Q355)),IF(OR(AND(OR($E356&lt;&gt;"",$L356=""),$M356&lt;&gt;0),$A356=""),IFERROR(VLOOKUP($E356,Selection!$E:$F,2,false)),IFERROR(VLOOKUP(SUBSTITUTE($I356,"-","",1),$K357:$Q1119,7,false),VLOOKUP($K356,$K357:$Q1119,7,false))))</f>
        <v/>
      </c>
      <c r="R356" s="49" t="str">
        <f t="shared" si="2"/>
        <v/>
      </c>
      <c r="S356" s="51" t="str">
        <f t="shared" si="3"/>
        <v/>
      </c>
      <c r="T356" s="52" t="str">
        <f t="shared" si="4"/>
        <v/>
      </c>
      <c r="U356" s="46" t="str">
        <f t="shared" si="5"/>
        <v/>
      </c>
      <c r="V356" s="53" t="str">
        <f>IFERROR(__xludf.DUMMYFUNCTION(" IF(Account!$F356&lt;&gt;"""", SPLIT(Account!$F356, "" ""), """")"),"")</f>
        <v/>
      </c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</row>
    <row r="357">
      <c r="A357" s="11"/>
      <c r="B357" s="11"/>
      <c r="C357" s="11"/>
      <c r="D357" s="11"/>
      <c r="E357" s="11"/>
      <c r="F357" s="12"/>
      <c r="G357" s="11"/>
      <c r="H357" s="11"/>
      <c r="I357" s="11"/>
      <c r="J357" s="11"/>
      <c r="K357" s="11"/>
      <c r="L357" s="45" t="str">
        <f t="shared" si="1"/>
        <v/>
      </c>
      <c r="M357" s="46" t="str">
        <f>IFERROR(__xludf.DUMMYFUNCTION("IF(Account!$F357&lt;&gt;"""", VALUE(REGEXREPLACE($I357, ""\,"", ""."")), """")"),"")</f>
        <v/>
      </c>
      <c r="N357" s="47" t="str">
        <f>IF(Account!$F357&lt;&gt;"", DATEVALUE(MID($A357,4,3) &amp; LEFT($A357,3) &amp; RIGHT($A357,4)) + TIMEVALUE($B357), "")</f>
        <v/>
      </c>
      <c r="O357" s="48" t="str">
        <f>IF(Account!$F357&lt;&gt;"", DATEVALUE(MID($A357,4,3) &amp; LEFT($A357,3) &amp; RIGHT($A357,4)), "")</f>
        <v/>
      </c>
      <c r="P357" s="49" t="str">
        <f>IFERROR(VLOOKUP($Q357,Selection!$F:$G,2,false))</f>
        <v/>
      </c>
      <c r="Q357" s="50" t="str">
        <f>IF(AND($X357="change",$H357="EUR"),IF(AND($Z357="Crédit",$N357=$N358),$Q358,IF(AND($Z357="Débit",$N357=$N356),$Q356)),IF(OR(AND(OR($E357&lt;&gt;"",$L357=""),$M357&lt;&gt;0),$A357=""),IFERROR(VLOOKUP($E357,Selection!$E:$F,2,false)),IFERROR(VLOOKUP(SUBSTITUTE($I357,"-","",1),$K358:$Q1119,7,false),VLOOKUP($K357,$K358:$Q1119,7,false))))</f>
        <v/>
      </c>
      <c r="R357" s="49" t="str">
        <f t="shared" si="2"/>
        <v/>
      </c>
      <c r="S357" s="51" t="str">
        <f t="shared" si="3"/>
        <v/>
      </c>
      <c r="T357" s="52" t="str">
        <f t="shared" si="4"/>
        <v/>
      </c>
      <c r="U357" s="46" t="str">
        <f t="shared" si="5"/>
        <v/>
      </c>
      <c r="V357" s="53" t="str">
        <f>IFERROR(__xludf.DUMMYFUNCTION(" IF(Account!$F357&lt;&gt;"""", SPLIT(Account!$F357, "" ""), """")"),"")</f>
        <v/>
      </c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</row>
    <row r="358">
      <c r="A358" s="11"/>
      <c r="B358" s="11"/>
      <c r="C358" s="11"/>
      <c r="D358" s="11"/>
      <c r="E358" s="11"/>
      <c r="F358" s="12"/>
      <c r="G358" s="11"/>
      <c r="H358" s="11"/>
      <c r="I358" s="11"/>
      <c r="J358" s="11"/>
      <c r="K358" s="11"/>
      <c r="L358" s="45" t="str">
        <f t="shared" si="1"/>
        <v/>
      </c>
      <c r="M358" s="46" t="str">
        <f>IFERROR(__xludf.DUMMYFUNCTION("IF(Account!$F358&lt;&gt;"""", VALUE(REGEXREPLACE($I358, ""\,"", ""."")), """")"),"")</f>
        <v/>
      </c>
      <c r="N358" s="47" t="str">
        <f>IF(Account!$F358&lt;&gt;"", DATEVALUE(MID($A358,4,3) &amp; LEFT($A358,3) &amp; RIGHT($A358,4)) + TIMEVALUE($B358), "")</f>
        <v/>
      </c>
      <c r="O358" s="48" t="str">
        <f>IF(Account!$F358&lt;&gt;"", DATEVALUE(MID($A358,4,3) &amp; LEFT($A358,3) &amp; RIGHT($A358,4)), "")</f>
        <v/>
      </c>
      <c r="P358" s="49" t="str">
        <f>IFERROR(VLOOKUP($Q358,Selection!$F:$G,2,false))</f>
        <v/>
      </c>
      <c r="Q358" s="50" t="str">
        <f>IF(AND($X358="change",$H358="EUR"),IF(AND($Z358="Crédit",$N358=$N359),$Q359,IF(AND($Z358="Débit",$N358=$N357),$Q357)),IF(OR(AND(OR($E358&lt;&gt;"",$L358=""),$M358&lt;&gt;0),$A358=""),IFERROR(VLOOKUP($E358,Selection!$E:$F,2,false)),IFERROR(VLOOKUP(SUBSTITUTE($I358,"-","",1),$K359:$Q1119,7,false),VLOOKUP($K358,$K359:$Q1119,7,false))))</f>
        <v/>
      </c>
      <c r="R358" s="49" t="str">
        <f t="shared" si="2"/>
        <v/>
      </c>
      <c r="S358" s="51" t="str">
        <f t="shared" si="3"/>
        <v/>
      </c>
      <c r="T358" s="52" t="str">
        <f t="shared" si="4"/>
        <v/>
      </c>
      <c r="U358" s="46" t="str">
        <f t="shared" si="5"/>
        <v/>
      </c>
      <c r="V358" s="53" t="str">
        <f>IFERROR(__xludf.DUMMYFUNCTION(" IF(Account!$F358&lt;&gt;"""", SPLIT(Account!$F358, "" ""), """")"),"")</f>
        <v/>
      </c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</row>
    <row r="359">
      <c r="A359" s="11"/>
      <c r="B359" s="11"/>
      <c r="C359" s="11"/>
      <c r="D359" s="11"/>
      <c r="E359" s="11"/>
      <c r="F359" s="12"/>
      <c r="G359" s="215"/>
      <c r="H359" s="11"/>
      <c r="I359" s="11"/>
      <c r="J359" s="11"/>
      <c r="K359" s="11"/>
      <c r="L359" s="45" t="str">
        <f t="shared" si="1"/>
        <v/>
      </c>
      <c r="M359" s="46" t="str">
        <f>IFERROR(__xludf.DUMMYFUNCTION("IF(Account!$F359&lt;&gt;"""", VALUE(REGEXREPLACE($I359, ""\,"", ""."")), """")"),"")</f>
        <v/>
      </c>
      <c r="N359" s="47" t="str">
        <f>IF(Account!$F359&lt;&gt;"", DATEVALUE(MID($A359,4,3) &amp; LEFT($A359,3) &amp; RIGHT($A359,4)) + TIMEVALUE($B359), "")</f>
        <v/>
      </c>
      <c r="O359" s="48" t="str">
        <f>IF(Account!$F359&lt;&gt;"", DATEVALUE(MID($A359,4,3) &amp; LEFT($A359,3) &amp; RIGHT($A359,4)), "")</f>
        <v/>
      </c>
      <c r="P359" s="49" t="str">
        <f>IFERROR(VLOOKUP($Q359,Selection!$F:$G,2,false))</f>
        <v/>
      </c>
      <c r="Q359" s="50" t="str">
        <f>IF(AND($X359="change",$H359="EUR"),IF(AND($Z359="Crédit",$N359=$N360),$Q360,IF(AND($Z359="Débit",$N359=$N358),$Q358)),IF(OR(AND(OR($E359&lt;&gt;"",$L359=""),$M359&lt;&gt;0),$A359=""),IFERROR(VLOOKUP($E359,Selection!$E:$F,2,false)),IFERROR(VLOOKUP(SUBSTITUTE($I359,"-","",1),$K360:$Q1119,7,false),VLOOKUP($K359,$K360:$Q1119,7,false))))</f>
        <v/>
      </c>
      <c r="R359" s="49" t="str">
        <f t="shared" si="2"/>
        <v/>
      </c>
      <c r="S359" s="51" t="str">
        <f t="shared" si="3"/>
        <v/>
      </c>
      <c r="T359" s="52" t="str">
        <f t="shared" si="4"/>
        <v/>
      </c>
      <c r="U359" s="46" t="str">
        <f t="shared" si="5"/>
        <v/>
      </c>
      <c r="V359" s="53" t="str">
        <f>IFERROR(__xludf.DUMMYFUNCTION(" IF(Account!$F359&lt;&gt;"""", SPLIT(Account!$F359, "" ""), """")"),"")</f>
        <v/>
      </c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</row>
    <row r="360">
      <c r="A360" s="11"/>
      <c r="B360" s="11"/>
      <c r="C360" s="11"/>
      <c r="D360" s="11"/>
      <c r="E360" s="11"/>
      <c r="F360" s="12"/>
      <c r="G360" s="11"/>
      <c r="H360" s="11"/>
      <c r="I360" s="11"/>
      <c r="J360" s="11"/>
      <c r="K360" s="11"/>
      <c r="L360" s="45" t="str">
        <f t="shared" si="1"/>
        <v/>
      </c>
      <c r="M360" s="46" t="str">
        <f>IFERROR(__xludf.DUMMYFUNCTION("IF(Account!$F360&lt;&gt;"""", VALUE(REGEXREPLACE($I360, ""\,"", ""."")), """")"),"")</f>
        <v/>
      </c>
      <c r="N360" s="47" t="str">
        <f>IF(Account!$F360&lt;&gt;"", DATEVALUE(MID($A360,4,3) &amp; LEFT($A360,3) &amp; RIGHT($A360,4)) + TIMEVALUE($B360), "")</f>
        <v/>
      </c>
      <c r="O360" s="48" t="str">
        <f>IF(Account!$F360&lt;&gt;"", DATEVALUE(MID($A360,4,3) &amp; LEFT($A360,3) &amp; RIGHT($A360,4)), "")</f>
        <v/>
      </c>
      <c r="P360" s="49" t="str">
        <f>IFERROR(VLOOKUP($Q360,Selection!$F:$G,2,false))</f>
        <v/>
      </c>
      <c r="Q360" s="50" t="str">
        <f>IF(AND($X360="change",$H360="EUR"),IF(AND($Z360="Crédit",$N360=$N361),$Q361,IF(AND($Z360="Débit",$N360=$N359),$Q359)),IF(OR(AND(OR($E360&lt;&gt;"",$L360=""),$M360&lt;&gt;0),$A360=""),IFERROR(VLOOKUP($E360,Selection!$E:$F,2,false)),IFERROR(VLOOKUP(SUBSTITUTE($I360,"-","",1),$K361:$Q1119,7,false),VLOOKUP($K360,$K361:$Q1119,7,false))))</f>
        <v/>
      </c>
      <c r="R360" s="49" t="str">
        <f t="shared" si="2"/>
        <v/>
      </c>
      <c r="S360" s="51" t="str">
        <f t="shared" si="3"/>
        <v/>
      </c>
      <c r="T360" s="52" t="str">
        <f t="shared" si="4"/>
        <v/>
      </c>
      <c r="U360" s="46" t="str">
        <f t="shared" si="5"/>
        <v/>
      </c>
      <c r="V360" s="53" t="str">
        <f>IFERROR(__xludf.DUMMYFUNCTION(" IF(Account!$F360&lt;&gt;"""", SPLIT(Account!$F360, "" ""), """")"),"")</f>
        <v/>
      </c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</row>
    <row r="361">
      <c r="A361" s="11"/>
      <c r="B361" s="11"/>
      <c r="C361" s="11"/>
      <c r="D361" s="11"/>
      <c r="E361" s="11"/>
      <c r="F361" s="12"/>
      <c r="G361" s="215"/>
      <c r="H361" s="11"/>
      <c r="I361" s="11"/>
      <c r="J361" s="11"/>
      <c r="K361" s="11"/>
      <c r="L361" s="45" t="str">
        <f t="shared" si="1"/>
        <v/>
      </c>
      <c r="M361" s="46" t="str">
        <f>IFERROR(__xludf.DUMMYFUNCTION("IF(Account!$F361&lt;&gt;"""", VALUE(REGEXREPLACE($I361, ""\,"", ""."")), """")"),"")</f>
        <v/>
      </c>
      <c r="N361" s="47" t="str">
        <f>IF(Account!$F361&lt;&gt;"", DATEVALUE(MID($A361,4,3) &amp; LEFT($A361,3) &amp; RIGHT($A361,4)) + TIMEVALUE($B361), "")</f>
        <v/>
      </c>
      <c r="O361" s="48" t="str">
        <f>IF(Account!$F361&lt;&gt;"", DATEVALUE(MID($A361,4,3) &amp; LEFT($A361,3) &amp; RIGHT($A361,4)), "")</f>
        <v/>
      </c>
      <c r="P361" s="49" t="str">
        <f>IFERROR(VLOOKUP($Q361,Selection!$F:$G,2,false))</f>
        <v/>
      </c>
      <c r="Q361" s="50" t="str">
        <f>IF(AND($X361="change",$H361="EUR"),IF(AND($Z361="Crédit",$N361=$N362),$Q362,IF(AND($Z361="Débit",$N361=$N360),$Q360)),IF(OR(AND(OR($E361&lt;&gt;"",$L361=""),$M361&lt;&gt;0),$A361=""),IFERROR(VLOOKUP($E361,Selection!$E:$F,2,false)),IFERROR(VLOOKUP(SUBSTITUTE($I361,"-","",1),$K362:$Q1119,7,false),VLOOKUP($K361,$K362:$Q1119,7,false))))</f>
        <v/>
      </c>
      <c r="R361" s="49" t="str">
        <f t="shared" si="2"/>
        <v/>
      </c>
      <c r="S361" s="51" t="str">
        <f t="shared" si="3"/>
        <v/>
      </c>
      <c r="T361" s="52" t="str">
        <f t="shared" si="4"/>
        <v/>
      </c>
      <c r="U361" s="46" t="str">
        <f t="shared" si="5"/>
        <v/>
      </c>
      <c r="V361" s="53" t="str">
        <f>IFERROR(__xludf.DUMMYFUNCTION(" IF(Account!$F361&lt;&gt;"""", SPLIT(Account!$F361, "" ""), """")"),"")</f>
        <v/>
      </c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</row>
    <row r="362">
      <c r="A362" s="11"/>
      <c r="B362" s="11"/>
      <c r="C362" s="11"/>
      <c r="D362" s="11"/>
      <c r="E362" s="11"/>
      <c r="F362" s="12"/>
      <c r="G362" s="215"/>
      <c r="H362" s="11"/>
      <c r="I362" s="11"/>
      <c r="J362" s="11"/>
      <c r="K362" s="11"/>
      <c r="L362" s="45" t="str">
        <f t="shared" si="1"/>
        <v/>
      </c>
      <c r="M362" s="46" t="str">
        <f>IFERROR(__xludf.DUMMYFUNCTION("IF(Account!$F362&lt;&gt;"""", VALUE(REGEXREPLACE($I362, ""\,"", ""."")), """")"),"")</f>
        <v/>
      </c>
      <c r="N362" s="47" t="str">
        <f>IF(Account!$F362&lt;&gt;"", DATEVALUE(MID($A362,4,3) &amp; LEFT($A362,3) &amp; RIGHT($A362,4)) + TIMEVALUE($B362), "")</f>
        <v/>
      </c>
      <c r="O362" s="48" t="str">
        <f>IF(Account!$F362&lt;&gt;"", DATEVALUE(MID($A362,4,3) &amp; LEFT($A362,3) &amp; RIGHT($A362,4)), "")</f>
        <v/>
      </c>
      <c r="P362" s="49" t="str">
        <f>IFERROR(VLOOKUP($Q362,Selection!$F:$G,2,false))</f>
        <v/>
      </c>
      <c r="Q362" s="50" t="str">
        <f>IF(AND($X362="change",$H362="EUR"),IF(AND($Z362="Crédit",$N362=$N363),$Q363,IF(AND($Z362="Débit",$N362=$N361),$Q361)),IF(OR(AND(OR($E362&lt;&gt;"",$L362=""),$M362&lt;&gt;0),$A362=""),IFERROR(VLOOKUP($E362,Selection!$E:$F,2,false)),IFERROR(VLOOKUP(SUBSTITUTE($I362,"-","",1),$K363:$Q1119,7,false),VLOOKUP($K362,$K363:$Q1119,7,false))))</f>
        <v/>
      </c>
      <c r="R362" s="49" t="str">
        <f t="shared" si="2"/>
        <v/>
      </c>
      <c r="S362" s="51" t="str">
        <f t="shared" si="3"/>
        <v/>
      </c>
      <c r="T362" s="52" t="str">
        <f t="shared" si="4"/>
        <v/>
      </c>
      <c r="U362" s="46" t="str">
        <f t="shared" si="5"/>
        <v/>
      </c>
      <c r="V362" s="53" t="str">
        <f>IFERROR(__xludf.DUMMYFUNCTION(" IF(Account!$F362&lt;&gt;"""", SPLIT(Account!$F362, "" ""), """")"),"")</f>
        <v/>
      </c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</row>
    <row r="363">
      <c r="A363" s="11"/>
      <c r="B363" s="11"/>
      <c r="C363" s="11"/>
      <c r="D363" s="11"/>
      <c r="E363" s="11"/>
      <c r="F363" s="12"/>
      <c r="G363" s="215"/>
      <c r="H363" s="11"/>
      <c r="I363" s="11"/>
      <c r="J363" s="11"/>
      <c r="K363" s="11"/>
      <c r="L363" s="45" t="str">
        <f t="shared" si="1"/>
        <v/>
      </c>
      <c r="M363" s="46" t="str">
        <f>IFERROR(__xludf.DUMMYFUNCTION("IF(Account!$F363&lt;&gt;"""", VALUE(REGEXREPLACE($I363, ""\,"", ""."")), """")"),"")</f>
        <v/>
      </c>
      <c r="N363" s="47" t="str">
        <f>IF(Account!$F363&lt;&gt;"", DATEVALUE(MID($A363,4,3) &amp; LEFT($A363,3) &amp; RIGHT($A363,4)) + TIMEVALUE($B363), "")</f>
        <v/>
      </c>
      <c r="O363" s="48" t="str">
        <f>IF(Account!$F363&lt;&gt;"", DATEVALUE(MID($A363,4,3) &amp; LEFT($A363,3) &amp; RIGHT($A363,4)), "")</f>
        <v/>
      </c>
      <c r="P363" s="49" t="str">
        <f>IFERROR(VLOOKUP($Q363,Selection!$F:$G,2,false))</f>
        <v/>
      </c>
      <c r="Q363" s="50" t="str">
        <f>IF(AND($X363="change",$H363="EUR"),IF(AND($Z363="Crédit",$N363=$N364),$Q364,IF(AND($Z363="Débit",$N363=$N362),$Q362)),IF(OR(AND(OR($E363&lt;&gt;"",$L363=""),$M363&lt;&gt;0),$A363=""),IFERROR(VLOOKUP($E363,Selection!$E:$F,2,false)),IFERROR(VLOOKUP(SUBSTITUTE($I363,"-","",1),$K364:$Q1119,7,false),VLOOKUP($K363,$K364:$Q1119,7,false))))</f>
        <v/>
      </c>
      <c r="R363" s="49" t="str">
        <f t="shared" si="2"/>
        <v/>
      </c>
      <c r="S363" s="51" t="str">
        <f t="shared" si="3"/>
        <v/>
      </c>
      <c r="T363" s="52" t="str">
        <f t="shared" si="4"/>
        <v/>
      </c>
      <c r="U363" s="46" t="str">
        <f t="shared" si="5"/>
        <v/>
      </c>
      <c r="V363" s="53" t="str">
        <f>IFERROR(__xludf.DUMMYFUNCTION(" IF(Account!$F363&lt;&gt;"""", SPLIT(Account!$F363, "" ""), """")"),"")</f>
        <v/>
      </c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</row>
    <row r="364">
      <c r="A364" s="11"/>
      <c r="B364" s="11"/>
      <c r="C364" s="11"/>
      <c r="D364" s="11"/>
      <c r="E364" s="11"/>
      <c r="F364" s="12"/>
      <c r="G364" s="215"/>
      <c r="H364" s="11"/>
      <c r="I364" s="11"/>
      <c r="J364" s="11"/>
      <c r="K364" s="11"/>
      <c r="L364" s="45" t="str">
        <f t="shared" si="1"/>
        <v/>
      </c>
      <c r="M364" s="46" t="str">
        <f>IFERROR(__xludf.DUMMYFUNCTION("IF(Account!$F364&lt;&gt;"""", VALUE(REGEXREPLACE($I364, ""\,"", ""."")), """")"),"")</f>
        <v/>
      </c>
      <c r="N364" s="47" t="str">
        <f>IF(Account!$F364&lt;&gt;"", DATEVALUE(MID($A364,4,3) &amp; LEFT($A364,3) &amp; RIGHT($A364,4)) + TIMEVALUE($B364), "")</f>
        <v/>
      </c>
      <c r="O364" s="48" t="str">
        <f>IF(Account!$F364&lt;&gt;"", DATEVALUE(MID($A364,4,3) &amp; LEFT($A364,3) &amp; RIGHT($A364,4)), "")</f>
        <v/>
      </c>
      <c r="P364" s="49" t="str">
        <f>IFERROR(VLOOKUP($Q364,Selection!$F:$G,2,false))</f>
        <v/>
      </c>
      <c r="Q364" s="50" t="str">
        <f>IF(AND($X364="change",$H364="EUR"),IF(AND($Z364="Crédit",$N364=$N365),$Q365,IF(AND($Z364="Débit",$N364=$N363),$Q363)),IF(OR(AND(OR($E364&lt;&gt;"",$L364=""),$M364&lt;&gt;0),$A364=""),IFERROR(VLOOKUP($E364,Selection!$E:$F,2,false)),IFERROR(VLOOKUP(SUBSTITUTE($I364,"-","",1),$K365:$Q1119,7,false),VLOOKUP($K364,$K365:$Q1119,7,false))))</f>
        <v/>
      </c>
      <c r="R364" s="49" t="str">
        <f t="shared" si="2"/>
        <v/>
      </c>
      <c r="S364" s="51" t="str">
        <f t="shared" si="3"/>
        <v/>
      </c>
      <c r="T364" s="52" t="str">
        <f t="shared" si="4"/>
        <v/>
      </c>
      <c r="U364" s="46" t="str">
        <f t="shared" si="5"/>
        <v/>
      </c>
      <c r="V364" s="53" t="str">
        <f>IFERROR(__xludf.DUMMYFUNCTION(" IF(Account!$F364&lt;&gt;"""", SPLIT(Account!$F364, "" ""), """")"),"")</f>
        <v/>
      </c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</row>
    <row r="365">
      <c r="A365" s="11"/>
      <c r="B365" s="11"/>
      <c r="C365" s="11"/>
      <c r="D365" s="11"/>
      <c r="E365" s="11"/>
      <c r="F365" s="12"/>
      <c r="G365" s="215"/>
      <c r="H365" s="11"/>
      <c r="I365" s="11"/>
      <c r="J365" s="11"/>
      <c r="K365" s="11"/>
      <c r="L365" s="45" t="str">
        <f t="shared" si="1"/>
        <v/>
      </c>
      <c r="M365" s="46" t="str">
        <f>IFERROR(__xludf.DUMMYFUNCTION("IF(Account!$F365&lt;&gt;"""", VALUE(REGEXREPLACE($I365, ""\,"", ""."")), """")"),"")</f>
        <v/>
      </c>
      <c r="N365" s="47" t="str">
        <f>IF(Account!$F365&lt;&gt;"", DATEVALUE(MID($A365,4,3) &amp; LEFT($A365,3) &amp; RIGHT($A365,4)) + TIMEVALUE($B365), "")</f>
        <v/>
      </c>
      <c r="O365" s="48" t="str">
        <f>IF(Account!$F365&lt;&gt;"", DATEVALUE(MID($A365,4,3) &amp; LEFT($A365,3) &amp; RIGHT($A365,4)), "")</f>
        <v/>
      </c>
      <c r="P365" s="49" t="str">
        <f>IFERROR(VLOOKUP($Q365,Selection!$F:$G,2,false))</f>
        <v/>
      </c>
      <c r="Q365" s="50" t="str">
        <f>IF(AND($X365="change",$H365="EUR"),IF(AND($Z365="Crédit",$N365=$N366),$Q366,IF(AND($Z365="Débit",$N365=$N364),$Q364)),IF(OR(AND(OR($E365&lt;&gt;"",$L365=""),$M365&lt;&gt;0),$A365=""),IFERROR(VLOOKUP($E365,Selection!$E:$F,2,false)),IFERROR(VLOOKUP(SUBSTITUTE($I365,"-","",1),$K366:$Q1119,7,false),VLOOKUP($K365,$K366:$Q1119,7,false))))</f>
        <v/>
      </c>
      <c r="R365" s="49" t="str">
        <f t="shared" si="2"/>
        <v/>
      </c>
      <c r="S365" s="51" t="str">
        <f t="shared" si="3"/>
        <v/>
      </c>
      <c r="T365" s="52" t="str">
        <f t="shared" si="4"/>
        <v/>
      </c>
      <c r="U365" s="46" t="str">
        <f t="shared" si="5"/>
        <v/>
      </c>
      <c r="V365" s="53" t="str">
        <f>IFERROR(__xludf.DUMMYFUNCTION(" IF(Account!$F365&lt;&gt;"""", SPLIT(Account!$F365, "" ""), """")"),"")</f>
        <v/>
      </c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</row>
    <row r="366">
      <c r="A366" s="11"/>
      <c r="B366" s="11"/>
      <c r="C366" s="11"/>
      <c r="D366" s="11"/>
      <c r="E366" s="11"/>
      <c r="F366" s="12"/>
      <c r="G366" s="215"/>
      <c r="H366" s="11"/>
      <c r="I366" s="11"/>
      <c r="J366" s="11"/>
      <c r="K366" s="11"/>
      <c r="L366" s="45" t="str">
        <f t="shared" si="1"/>
        <v/>
      </c>
      <c r="M366" s="46" t="str">
        <f>IFERROR(__xludf.DUMMYFUNCTION("IF(Account!$F366&lt;&gt;"""", VALUE(REGEXREPLACE($I366, ""\,"", ""."")), """")"),"")</f>
        <v/>
      </c>
      <c r="N366" s="47" t="str">
        <f>IF(Account!$F366&lt;&gt;"", DATEVALUE(MID($A366,4,3) &amp; LEFT($A366,3) &amp; RIGHT($A366,4)) + TIMEVALUE($B366), "")</f>
        <v/>
      </c>
      <c r="O366" s="48" t="str">
        <f>IF(Account!$F366&lt;&gt;"", DATEVALUE(MID($A366,4,3) &amp; LEFT($A366,3) &amp; RIGHT($A366,4)), "")</f>
        <v/>
      </c>
      <c r="P366" s="49" t="str">
        <f>IFERROR(VLOOKUP($Q366,Selection!$F:$G,2,false))</f>
        <v/>
      </c>
      <c r="Q366" s="50" t="str">
        <f>IF(AND($X366="change",$H366="EUR"),IF(AND($Z366="Crédit",$N366=$N367),$Q367,IF(AND($Z366="Débit",$N366=$N365),$Q365)),IF(OR(AND(OR($E366&lt;&gt;"",$L366=""),$M366&lt;&gt;0),$A366=""),IFERROR(VLOOKUP($E366,Selection!$E:$F,2,false)),IFERROR(VLOOKUP(SUBSTITUTE($I366,"-","",1),$K367:$Q1119,7,false),VLOOKUP($K366,$K367:$Q1119,7,false))))</f>
        <v/>
      </c>
      <c r="R366" s="49" t="str">
        <f t="shared" si="2"/>
        <v/>
      </c>
      <c r="S366" s="51" t="str">
        <f t="shared" si="3"/>
        <v/>
      </c>
      <c r="T366" s="52" t="str">
        <f t="shared" si="4"/>
        <v/>
      </c>
      <c r="U366" s="46" t="str">
        <f t="shared" si="5"/>
        <v/>
      </c>
      <c r="V366" s="53" t="str">
        <f>IFERROR(__xludf.DUMMYFUNCTION(" IF(Account!$F366&lt;&gt;"""", SPLIT(Account!$F366, "" ""), """")"),"")</f>
        <v/>
      </c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</row>
    <row r="367">
      <c r="A367" s="11"/>
      <c r="B367" s="11"/>
      <c r="C367" s="11"/>
      <c r="D367" s="11"/>
      <c r="E367" s="11"/>
      <c r="F367" s="12"/>
      <c r="G367" s="215"/>
      <c r="H367" s="11"/>
      <c r="I367" s="11"/>
      <c r="J367" s="11"/>
      <c r="K367" s="11"/>
      <c r="L367" s="45" t="str">
        <f t="shared" si="1"/>
        <v/>
      </c>
      <c r="M367" s="46" t="str">
        <f>IFERROR(__xludf.DUMMYFUNCTION("IF(Account!$F367&lt;&gt;"""", VALUE(REGEXREPLACE($I367, ""\,"", ""."")), """")"),"")</f>
        <v/>
      </c>
      <c r="N367" s="47" t="str">
        <f>IF(Account!$F367&lt;&gt;"", DATEVALUE(MID($A367,4,3) &amp; LEFT($A367,3) &amp; RIGHT($A367,4)) + TIMEVALUE($B367), "")</f>
        <v/>
      </c>
      <c r="O367" s="48" t="str">
        <f>IF(Account!$F367&lt;&gt;"", DATEVALUE(MID($A367,4,3) &amp; LEFT($A367,3) &amp; RIGHT($A367,4)), "")</f>
        <v/>
      </c>
      <c r="P367" s="49" t="str">
        <f>IFERROR(VLOOKUP($Q367,Selection!$F:$G,2,false))</f>
        <v/>
      </c>
      <c r="Q367" s="50" t="str">
        <f>IF(AND($X367="change",$H367="EUR"),IF(AND($Z367="Crédit",$N367=$N368),$Q368,IF(AND($Z367="Débit",$N367=$N366),$Q366)),IF(OR(AND(OR($E367&lt;&gt;"",$L367=""),$M367&lt;&gt;0),$A367=""),IFERROR(VLOOKUP($E367,Selection!$E:$F,2,false)),IFERROR(VLOOKUP(SUBSTITUTE($I367,"-","",1),$K368:$Q1119,7,false),VLOOKUP($K367,$K368:$Q1119,7,false))))</f>
        <v/>
      </c>
      <c r="R367" s="49" t="str">
        <f t="shared" si="2"/>
        <v/>
      </c>
      <c r="S367" s="51" t="str">
        <f t="shared" si="3"/>
        <v/>
      </c>
      <c r="T367" s="52" t="str">
        <f t="shared" si="4"/>
        <v/>
      </c>
      <c r="U367" s="46" t="str">
        <f t="shared" si="5"/>
        <v/>
      </c>
      <c r="V367" s="53" t="str">
        <f>IFERROR(__xludf.DUMMYFUNCTION(" IF(Account!$F367&lt;&gt;"""", SPLIT(Account!$F367, "" ""), """")"),"")</f>
        <v/>
      </c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</row>
    <row r="368">
      <c r="A368" s="11"/>
      <c r="B368" s="11"/>
      <c r="C368" s="11"/>
      <c r="D368" s="11"/>
      <c r="E368" s="11"/>
      <c r="F368" s="12"/>
      <c r="G368" s="11"/>
      <c r="H368" s="11"/>
      <c r="I368" s="11"/>
      <c r="J368" s="11"/>
      <c r="K368" s="11"/>
      <c r="L368" s="45" t="str">
        <f t="shared" si="1"/>
        <v/>
      </c>
      <c r="M368" s="46" t="str">
        <f>IFERROR(__xludf.DUMMYFUNCTION("IF(Account!$F368&lt;&gt;"""", VALUE(REGEXREPLACE($I368, ""\,"", ""."")), """")"),"")</f>
        <v/>
      </c>
      <c r="N368" s="47" t="str">
        <f>IF(Account!$F368&lt;&gt;"", DATEVALUE(MID($A368,4,3) &amp; LEFT($A368,3) &amp; RIGHT($A368,4)) + TIMEVALUE($B368), "")</f>
        <v/>
      </c>
      <c r="O368" s="48" t="str">
        <f>IF(Account!$F368&lt;&gt;"", DATEVALUE(MID($A368,4,3) &amp; LEFT($A368,3) &amp; RIGHT($A368,4)), "")</f>
        <v/>
      </c>
      <c r="P368" s="49" t="str">
        <f>IFERROR(VLOOKUP($Q368,Selection!$F:$G,2,false))</f>
        <v/>
      </c>
      <c r="Q368" s="50" t="str">
        <f>IF(AND($X368="change",$H368="EUR"),IF(AND($Z368="Crédit",$N368=$N369),$Q369,IF(AND($Z368="Débit",$N368=$N367),$Q367)),IF(OR(AND(OR($E368&lt;&gt;"",$L368=""),$M368&lt;&gt;0),$A368=""),IFERROR(VLOOKUP($E368,Selection!$E:$F,2,false)),IFERROR(VLOOKUP(SUBSTITUTE($I368,"-","",1),$K369:$Q1119,7,false),VLOOKUP($K368,$K369:$Q1119,7,false))))</f>
        <v/>
      </c>
      <c r="R368" s="49" t="str">
        <f t="shared" si="2"/>
        <v/>
      </c>
      <c r="S368" s="51" t="str">
        <f t="shared" si="3"/>
        <v/>
      </c>
      <c r="T368" s="52" t="str">
        <f t="shared" si="4"/>
        <v/>
      </c>
      <c r="U368" s="46" t="str">
        <f t="shared" si="5"/>
        <v/>
      </c>
      <c r="V368" s="53" t="str">
        <f>IFERROR(__xludf.DUMMYFUNCTION(" IF(Account!$F368&lt;&gt;"""", SPLIT(Account!$F368, "" ""), """")"),"")</f>
        <v/>
      </c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</row>
    <row r="369">
      <c r="A369" s="11"/>
      <c r="B369" s="11"/>
      <c r="C369" s="11"/>
      <c r="D369" s="11"/>
      <c r="E369" s="11"/>
      <c r="F369" s="12"/>
      <c r="G369" s="215"/>
      <c r="H369" s="11"/>
      <c r="I369" s="11"/>
      <c r="J369" s="11"/>
      <c r="K369" s="11"/>
      <c r="L369" s="45" t="str">
        <f t="shared" si="1"/>
        <v/>
      </c>
      <c r="M369" s="46" t="str">
        <f>IFERROR(__xludf.DUMMYFUNCTION("IF(Account!$F369&lt;&gt;"""", VALUE(REGEXREPLACE($I369, ""\,"", ""."")), """")"),"")</f>
        <v/>
      </c>
      <c r="N369" s="47" t="str">
        <f>IF(Account!$F369&lt;&gt;"", DATEVALUE(MID($A369,4,3) &amp; LEFT($A369,3) &amp; RIGHT($A369,4)) + TIMEVALUE($B369), "")</f>
        <v/>
      </c>
      <c r="O369" s="48" t="str">
        <f>IF(Account!$F369&lt;&gt;"", DATEVALUE(MID($A369,4,3) &amp; LEFT($A369,3) &amp; RIGHT($A369,4)), "")</f>
        <v/>
      </c>
      <c r="P369" s="49" t="str">
        <f>IFERROR(VLOOKUP($Q369,Selection!$F:$G,2,false))</f>
        <v/>
      </c>
      <c r="Q369" s="50" t="str">
        <f>IF(AND($X369="change",$H369="EUR"),IF(AND($Z369="Crédit",$N369=$N370),$Q370,IF(AND($Z369="Débit",$N369=$N368),$Q368)),IF(OR(AND(OR($E369&lt;&gt;"",$L369=""),$M369&lt;&gt;0),$A369=""),IFERROR(VLOOKUP($E369,Selection!$E:$F,2,false)),IFERROR(VLOOKUP(SUBSTITUTE($I369,"-","",1),$K370:$Q1119,7,false),VLOOKUP($K369,$K370:$Q1119,7,false))))</f>
        <v/>
      </c>
      <c r="R369" s="49" t="str">
        <f t="shared" si="2"/>
        <v/>
      </c>
      <c r="S369" s="51" t="str">
        <f t="shared" si="3"/>
        <v/>
      </c>
      <c r="T369" s="52" t="str">
        <f t="shared" si="4"/>
        <v/>
      </c>
      <c r="U369" s="46" t="str">
        <f t="shared" si="5"/>
        <v/>
      </c>
      <c r="V369" s="53" t="str">
        <f>IFERROR(__xludf.DUMMYFUNCTION(" IF(Account!$F369&lt;&gt;"""", SPLIT(Account!$F369, "" ""), """")"),"")</f>
        <v/>
      </c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</row>
    <row r="370">
      <c r="A370" s="11"/>
      <c r="B370" s="11"/>
      <c r="C370" s="11"/>
      <c r="D370" s="11"/>
      <c r="E370" s="11"/>
      <c r="F370" s="12"/>
      <c r="G370" s="11"/>
      <c r="H370" s="11"/>
      <c r="I370" s="11"/>
      <c r="J370" s="11"/>
      <c r="K370" s="11"/>
      <c r="L370" s="45" t="str">
        <f t="shared" si="1"/>
        <v/>
      </c>
      <c r="M370" s="46" t="str">
        <f>IFERROR(__xludf.DUMMYFUNCTION("IF(Account!$F370&lt;&gt;"""", VALUE(REGEXREPLACE($I370, ""\,"", ""."")), """")"),"")</f>
        <v/>
      </c>
      <c r="N370" s="47" t="str">
        <f>IF(Account!$F370&lt;&gt;"", DATEVALUE(MID($A370,4,3) &amp; LEFT($A370,3) &amp; RIGHT($A370,4)) + TIMEVALUE($B370), "")</f>
        <v/>
      </c>
      <c r="O370" s="48" t="str">
        <f>IF(Account!$F370&lt;&gt;"", DATEVALUE(MID($A370,4,3) &amp; LEFT($A370,3) &amp; RIGHT($A370,4)), "")</f>
        <v/>
      </c>
      <c r="P370" s="49" t="str">
        <f>IFERROR(VLOOKUP($Q370,Selection!$F:$G,2,false))</f>
        <v/>
      </c>
      <c r="Q370" s="50" t="str">
        <f>IF(AND($X370="change",$H370="EUR"),IF(AND($Z370="Crédit",$N370=$N371),$Q371,IF(AND($Z370="Débit",$N370=$N369),$Q369)),IF(OR(AND(OR($E370&lt;&gt;"",$L370=""),$M370&lt;&gt;0),$A370=""),IFERROR(VLOOKUP($E370,Selection!$E:$F,2,false)),IFERROR(VLOOKUP(SUBSTITUTE($I370,"-","",1),$K371:$Q1119,7,false),VLOOKUP($K370,$K371:$Q1119,7,false))))</f>
        <v/>
      </c>
      <c r="R370" s="49" t="str">
        <f t="shared" si="2"/>
        <v/>
      </c>
      <c r="S370" s="51" t="str">
        <f t="shared" si="3"/>
        <v/>
      </c>
      <c r="T370" s="52" t="str">
        <f t="shared" si="4"/>
        <v/>
      </c>
      <c r="U370" s="46" t="str">
        <f t="shared" si="5"/>
        <v/>
      </c>
      <c r="V370" s="53" t="str">
        <f>IFERROR(__xludf.DUMMYFUNCTION(" IF(Account!$F370&lt;&gt;"""", SPLIT(Account!$F370, "" ""), """")"),"")</f>
        <v/>
      </c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</row>
    <row r="371">
      <c r="A371" s="11"/>
      <c r="B371" s="11"/>
      <c r="C371" s="11"/>
      <c r="D371" s="11"/>
      <c r="E371" s="11"/>
      <c r="F371" s="12"/>
      <c r="G371" s="215"/>
      <c r="H371" s="11"/>
      <c r="I371" s="11"/>
      <c r="J371" s="11"/>
      <c r="K371" s="11"/>
      <c r="L371" s="45" t="str">
        <f t="shared" si="1"/>
        <v/>
      </c>
      <c r="M371" s="46" t="str">
        <f>IFERROR(__xludf.DUMMYFUNCTION("IF(Account!$F371&lt;&gt;"""", VALUE(REGEXREPLACE($I371, ""\,"", ""."")), """")"),"")</f>
        <v/>
      </c>
      <c r="N371" s="47" t="str">
        <f>IF(Account!$F371&lt;&gt;"", DATEVALUE(MID($A371,4,3) &amp; LEFT($A371,3) &amp; RIGHT($A371,4)) + TIMEVALUE($B371), "")</f>
        <v/>
      </c>
      <c r="O371" s="48" t="str">
        <f>IF(Account!$F371&lt;&gt;"", DATEVALUE(MID($A371,4,3) &amp; LEFT($A371,3) &amp; RIGHT($A371,4)), "")</f>
        <v/>
      </c>
      <c r="P371" s="49" t="str">
        <f>IFERROR(VLOOKUP($Q371,Selection!$F:$G,2,false))</f>
        <v/>
      </c>
      <c r="Q371" s="50" t="str">
        <f>IF(AND($X371="change",$H371="EUR"),IF(AND($Z371="Crédit",$N371=$N372),$Q372,IF(AND($Z371="Débit",$N371=$N370),$Q370)),IF(OR(AND(OR($E371&lt;&gt;"",$L371=""),$M371&lt;&gt;0),$A371=""),IFERROR(VLOOKUP($E371,Selection!$E:$F,2,false)),IFERROR(VLOOKUP(SUBSTITUTE($I371,"-","",1),$K372:$Q1119,7,false),VLOOKUP($K371,$K372:$Q1119,7,false))))</f>
        <v/>
      </c>
      <c r="R371" s="49" t="str">
        <f t="shared" si="2"/>
        <v/>
      </c>
      <c r="S371" s="51" t="str">
        <f t="shared" si="3"/>
        <v/>
      </c>
      <c r="T371" s="52" t="str">
        <f t="shared" si="4"/>
        <v/>
      </c>
      <c r="U371" s="46" t="str">
        <f t="shared" si="5"/>
        <v/>
      </c>
      <c r="V371" s="53" t="str">
        <f>IFERROR(__xludf.DUMMYFUNCTION(" IF(Account!$F371&lt;&gt;"""", SPLIT(Account!$F371, "" ""), """")"),"")</f>
        <v/>
      </c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</row>
    <row r="372">
      <c r="A372" s="11"/>
      <c r="B372" s="11"/>
      <c r="C372" s="11"/>
      <c r="D372" s="11"/>
      <c r="E372" s="11"/>
      <c r="F372" s="12"/>
      <c r="G372" s="11"/>
      <c r="H372" s="11"/>
      <c r="I372" s="11"/>
      <c r="J372" s="11"/>
      <c r="K372" s="11"/>
      <c r="L372" s="45" t="str">
        <f t="shared" si="1"/>
        <v/>
      </c>
      <c r="M372" s="46" t="str">
        <f>IFERROR(__xludf.DUMMYFUNCTION("IF(Account!$F372&lt;&gt;"""", VALUE(REGEXREPLACE($I372, ""\,"", ""."")), """")"),"")</f>
        <v/>
      </c>
      <c r="N372" s="47" t="str">
        <f>IF(Account!$F372&lt;&gt;"", DATEVALUE(MID($A372,4,3) &amp; LEFT($A372,3) &amp; RIGHT($A372,4)) + TIMEVALUE($B372), "")</f>
        <v/>
      </c>
      <c r="O372" s="48" t="str">
        <f>IF(Account!$F372&lt;&gt;"", DATEVALUE(MID($A372,4,3) &amp; LEFT($A372,3) &amp; RIGHT($A372,4)), "")</f>
        <v/>
      </c>
      <c r="P372" s="49" t="str">
        <f>IFERROR(VLOOKUP($Q372,Selection!$F:$G,2,false))</f>
        <v/>
      </c>
      <c r="Q372" s="50" t="str">
        <f>IF(AND($X372="change",$H372="EUR"),IF(AND($Z372="Crédit",$N372=$N373),$Q373,IF(AND($Z372="Débit",$N372=$N371),$Q371)),IF(OR(AND(OR($E372&lt;&gt;"",$L372=""),$M372&lt;&gt;0),$A372=""),IFERROR(VLOOKUP($E372,Selection!$E:$F,2,false)),IFERROR(VLOOKUP(SUBSTITUTE($I372,"-","",1),$K373:$Q1119,7,false),VLOOKUP($K372,$K373:$Q1119,7,false))))</f>
        <v/>
      </c>
      <c r="R372" s="49" t="str">
        <f t="shared" si="2"/>
        <v/>
      </c>
      <c r="S372" s="51" t="str">
        <f t="shared" si="3"/>
        <v/>
      </c>
      <c r="T372" s="52" t="str">
        <f t="shared" si="4"/>
        <v/>
      </c>
      <c r="U372" s="46" t="str">
        <f t="shared" si="5"/>
        <v/>
      </c>
      <c r="V372" s="53" t="str">
        <f>IFERROR(__xludf.DUMMYFUNCTION(" IF(Account!$F372&lt;&gt;"""", SPLIT(Account!$F372, "" ""), """")"),"")</f>
        <v/>
      </c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</row>
    <row r="373">
      <c r="A373" s="11"/>
      <c r="B373" s="11"/>
      <c r="C373" s="11"/>
      <c r="D373" s="11"/>
      <c r="E373" s="11"/>
      <c r="F373" s="12"/>
      <c r="G373" s="215"/>
      <c r="H373" s="11"/>
      <c r="I373" s="11"/>
      <c r="J373" s="11"/>
      <c r="K373" s="11"/>
      <c r="L373" s="45" t="str">
        <f t="shared" si="1"/>
        <v/>
      </c>
      <c r="M373" s="46" t="str">
        <f>IFERROR(__xludf.DUMMYFUNCTION("IF(Account!$F373&lt;&gt;"""", VALUE(REGEXREPLACE($I373, ""\,"", ""."")), """")"),"")</f>
        <v/>
      </c>
      <c r="N373" s="47" t="str">
        <f>IF(Account!$F373&lt;&gt;"", DATEVALUE(MID($A373,4,3) &amp; LEFT($A373,3) &amp; RIGHT($A373,4)) + TIMEVALUE($B373), "")</f>
        <v/>
      </c>
      <c r="O373" s="48" t="str">
        <f>IF(Account!$F373&lt;&gt;"", DATEVALUE(MID($A373,4,3) &amp; LEFT($A373,3) &amp; RIGHT($A373,4)), "")</f>
        <v/>
      </c>
      <c r="P373" s="49" t="str">
        <f>IFERROR(VLOOKUP($Q373,Selection!$F:$G,2,false))</f>
        <v/>
      </c>
      <c r="Q373" s="50" t="str">
        <f>IF(AND($X373="change",$H373="EUR"),IF(AND($Z373="Crédit",$N373=$N374),$Q374,IF(AND($Z373="Débit",$N373=$N372),$Q372)),IF(OR(AND(OR($E373&lt;&gt;"",$L373=""),$M373&lt;&gt;0),$A373=""),IFERROR(VLOOKUP($E373,Selection!$E:$F,2,false)),IFERROR(VLOOKUP(SUBSTITUTE($I373,"-","",1),$K374:$Q1119,7,false),VLOOKUP($K373,$K374:$Q1119,7,false))))</f>
        <v/>
      </c>
      <c r="R373" s="49" t="str">
        <f t="shared" si="2"/>
        <v/>
      </c>
      <c r="S373" s="51" t="str">
        <f t="shared" si="3"/>
        <v/>
      </c>
      <c r="T373" s="52" t="str">
        <f t="shared" si="4"/>
        <v/>
      </c>
      <c r="U373" s="46" t="str">
        <f t="shared" si="5"/>
        <v/>
      </c>
      <c r="V373" s="53" t="str">
        <f>IFERROR(__xludf.DUMMYFUNCTION(" IF(Account!$F373&lt;&gt;"""", SPLIT(Account!$F373, "" ""), """")"),"")</f>
        <v/>
      </c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</row>
    <row r="374">
      <c r="A374" s="11"/>
      <c r="B374" s="11"/>
      <c r="C374" s="11"/>
      <c r="D374" s="11"/>
      <c r="E374" s="11"/>
      <c r="F374" s="12"/>
      <c r="G374" s="11"/>
      <c r="H374" s="11"/>
      <c r="I374" s="11"/>
      <c r="J374" s="11"/>
      <c r="K374" s="11"/>
      <c r="L374" s="45" t="str">
        <f t="shared" si="1"/>
        <v/>
      </c>
      <c r="M374" s="46" t="str">
        <f>IFERROR(__xludf.DUMMYFUNCTION("IF(Account!$F374&lt;&gt;"""", VALUE(REGEXREPLACE($I374, ""\,"", ""."")), """")"),"")</f>
        <v/>
      </c>
      <c r="N374" s="47" t="str">
        <f>IF(Account!$F374&lt;&gt;"", DATEVALUE(MID($A374,4,3) &amp; LEFT($A374,3) &amp; RIGHT($A374,4)) + TIMEVALUE($B374), "")</f>
        <v/>
      </c>
      <c r="O374" s="48" t="str">
        <f>IF(Account!$F374&lt;&gt;"", DATEVALUE(MID($A374,4,3) &amp; LEFT($A374,3) &amp; RIGHT($A374,4)), "")</f>
        <v/>
      </c>
      <c r="P374" s="49" t="str">
        <f>IFERROR(VLOOKUP($Q374,Selection!$F:$G,2,false))</f>
        <v/>
      </c>
      <c r="Q374" s="50" t="str">
        <f>IF(AND($X374="change",$H374="EUR"),IF(AND($Z374="Crédit",$N374=$N375),$Q375,IF(AND($Z374="Débit",$N374=$N373),$Q373)),IF(OR(AND(OR($E374&lt;&gt;"",$L374=""),$M374&lt;&gt;0),$A374=""),IFERROR(VLOOKUP($E374,Selection!$E:$F,2,false)),IFERROR(VLOOKUP(SUBSTITUTE($I374,"-","",1),$K375:$Q1119,7,false),VLOOKUP($K374,$K375:$Q1119,7,false))))</f>
        <v/>
      </c>
      <c r="R374" s="49" t="str">
        <f t="shared" si="2"/>
        <v/>
      </c>
      <c r="S374" s="51" t="str">
        <f t="shared" si="3"/>
        <v/>
      </c>
      <c r="T374" s="52" t="str">
        <f t="shared" si="4"/>
        <v/>
      </c>
      <c r="U374" s="46" t="str">
        <f t="shared" si="5"/>
        <v/>
      </c>
      <c r="V374" s="53" t="str">
        <f>IFERROR(__xludf.DUMMYFUNCTION(" IF(Account!$F374&lt;&gt;"""", SPLIT(Account!$F374, "" ""), """")"),"")</f>
        <v/>
      </c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</row>
    <row r="375">
      <c r="A375" s="11"/>
      <c r="B375" s="11"/>
      <c r="C375" s="11"/>
      <c r="D375" s="11"/>
      <c r="E375" s="11"/>
      <c r="F375" s="12"/>
      <c r="G375" s="215"/>
      <c r="H375" s="11"/>
      <c r="I375" s="11"/>
      <c r="J375" s="11"/>
      <c r="K375" s="11"/>
      <c r="L375" s="45" t="str">
        <f t="shared" si="1"/>
        <v/>
      </c>
      <c r="M375" s="46" t="str">
        <f>IFERROR(__xludf.DUMMYFUNCTION("IF(Account!$F375&lt;&gt;"""", VALUE(REGEXREPLACE($I375, ""\,"", ""."")), """")"),"")</f>
        <v/>
      </c>
      <c r="N375" s="47" t="str">
        <f>IF(Account!$F375&lt;&gt;"", DATEVALUE(MID($A375,4,3) &amp; LEFT($A375,3) &amp; RIGHT($A375,4)) + TIMEVALUE($B375), "")</f>
        <v/>
      </c>
      <c r="O375" s="48" t="str">
        <f>IF(Account!$F375&lt;&gt;"", DATEVALUE(MID($A375,4,3) &amp; LEFT($A375,3) &amp; RIGHT($A375,4)), "")</f>
        <v/>
      </c>
      <c r="P375" s="49" t="str">
        <f>IFERROR(VLOOKUP($Q375,Selection!$F:$G,2,false))</f>
        <v/>
      </c>
      <c r="Q375" s="50" t="str">
        <f>IF(AND($X375="change",$H375="EUR"),IF(AND($Z375="Crédit",$N375=$N376),$Q376,IF(AND($Z375="Débit",$N375=$N374),$Q374)),IF(OR(AND(OR($E375&lt;&gt;"",$L375=""),$M375&lt;&gt;0),$A375=""),IFERROR(VLOOKUP($E375,Selection!$E:$F,2,false)),IFERROR(VLOOKUP(SUBSTITUTE($I375,"-","",1),$K376:$Q1119,7,false),VLOOKUP($K375,$K376:$Q1119,7,false))))</f>
        <v/>
      </c>
      <c r="R375" s="49" t="str">
        <f t="shared" si="2"/>
        <v/>
      </c>
      <c r="S375" s="51" t="str">
        <f t="shared" si="3"/>
        <v/>
      </c>
      <c r="T375" s="52" t="str">
        <f t="shared" si="4"/>
        <v/>
      </c>
      <c r="U375" s="46" t="str">
        <f t="shared" si="5"/>
        <v/>
      </c>
      <c r="V375" s="53" t="str">
        <f>IFERROR(__xludf.DUMMYFUNCTION(" IF(Account!$F375&lt;&gt;"""", SPLIT(Account!$F375, "" ""), """")"),"")</f>
        <v/>
      </c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</row>
    <row r="376">
      <c r="A376" s="11"/>
      <c r="B376" s="11"/>
      <c r="C376" s="11"/>
      <c r="D376" s="11"/>
      <c r="E376" s="11"/>
      <c r="F376" s="12"/>
      <c r="G376" s="11"/>
      <c r="H376" s="11"/>
      <c r="I376" s="11"/>
      <c r="J376" s="11"/>
      <c r="K376" s="11"/>
      <c r="L376" s="45" t="str">
        <f t="shared" si="1"/>
        <v/>
      </c>
      <c r="M376" s="46" t="str">
        <f>IFERROR(__xludf.DUMMYFUNCTION("IF(Account!$F376&lt;&gt;"""", VALUE(REGEXREPLACE($I376, ""\,"", ""."")), """")"),"")</f>
        <v/>
      </c>
      <c r="N376" s="47" t="str">
        <f>IF(Account!$F376&lt;&gt;"", DATEVALUE(MID($A376,4,3) &amp; LEFT($A376,3) &amp; RIGHT($A376,4)) + TIMEVALUE($B376), "")</f>
        <v/>
      </c>
      <c r="O376" s="48" t="str">
        <f>IF(Account!$F376&lt;&gt;"", DATEVALUE(MID($A376,4,3) &amp; LEFT($A376,3) &amp; RIGHT($A376,4)), "")</f>
        <v/>
      </c>
      <c r="P376" s="49" t="str">
        <f>IFERROR(VLOOKUP($Q376,Selection!$F:$G,2,false))</f>
        <v/>
      </c>
      <c r="Q376" s="50" t="str">
        <f>IF(AND($X376="change",$H376="EUR"),IF(AND($Z376="Crédit",$N376=$N377),$Q377,IF(AND($Z376="Débit",$N376=$N375),$Q375)),IF(OR(AND(OR($E376&lt;&gt;"",$L376=""),$M376&lt;&gt;0),$A376=""),IFERROR(VLOOKUP($E376,Selection!$E:$F,2,false)),IFERROR(VLOOKUP(SUBSTITUTE($I376,"-","",1),$K377:$Q1119,7,false),VLOOKUP($K376,$K377:$Q1119,7,false))))</f>
        <v/>
      </c>
      <c r="R376" s="49" t="str">
        <f t="shared" si="2"/>
        <v/>
      </c>
      <c r="S376" s="51" t="str">
        <f t="shared" si="3"/>
        <v/>
      </c>
      <c r="T376" s="52" t="str">
        <f t="shared" si="4"/>
        <v/>
      </c>
      <c r="U376" s="46" t="str">
        <f t="shared" si="5"/>
        <v/>
      </c>
      <c r="V376" s="53" t="str">
        <f>IFERROR(__xludf.DUMMYFUNCTION(" IF(Account!$F376&lt;&gt;"""", SPLIT(Account!$F376, "" ""), """")"),"")</f>
        <v/>
      </c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</row>
    <row r="377">
      <c r="A377" s="11"/>
      <c r="B377" s="11"/>
      <c r="C377" s="11"/>
      <c r="D377" s="11"/>
      <c r="E377" s="11"/>
      <c r="F377" s="12"/>
      <c r="G377" s="215"/>
      <c r="H377" s="11"/>
      <c r="I377" s="11"/>
      <c r="J377" s="11"/>
      <c r="K377" s="11"/>
      <c r="L377" s="45" t="str">
        <f t="shared" si="1"/>
        <v/>
      </c>
      <c r="M377" s="46" t="str">
        <f>IFERROR(__xludf.DUMMYFUNCTION("IF(Account!$F377&lt;&gt;"""", VALUE(REGEXREPLACE($I377, ""\,"", ""."")), """")"),"")</f>
        <v/>
      </c>
      <c r="N377" s="47" t="str">
        <f>IF(Account!$F377&lt;&gt;"", DATEVALUE(MID($A377,4,3) &amp; LEFT($A377,3) &amp; RIGHT($A377,4)) + TIMEVALUE($B377), "")</f>
        <v/>
      </c>
      <c r="O377" s="48" t="str">
        <f>IF(Account!$F377&lt;&gt;"", DATEVALUE(MID($A377,4,3) &amp; LEFT($A377,3) &amp; RIGHT($A377,4)), "")</f>
        <v/>
      </c>
      <c r="P377" s="49" t="str">
        <f>IFERROR(VLOOKUP($Q377,Selection!$F:$G,2,false))</f>
        <v/>
      </c>
      <c r="Q377" s="50" t="str">
        <f>IF(AND($X377="change",$H377="EUR"),IF(AND($Z377="Crédit",$N377=$N378),$Q378,IF(AND($Z377="Débit",$N377=$N376),$Q376)),IF(OR(AND(OR($E377&lt;&gt;"",$L377=""),$M377&lt;&gt;0),$A377=""),IFERROR(VLOOKUP($E377,Selection!$E:$F,2,false)),IFERROR(VLOOKUP(SUBSTITUTE($I377,"-","",1),$K378:$Q1119,7,false),VLOOKUP($K377,$K378:$Q1119,7,false))))</f>
        <v/>
      </c>
      <c r="R377" s="49" t="str">
        <f t="shared" si="2"/>
        <v/>
      </c>
      <c r="S377" s="51" t="str">
        <f t="shared" si="3"/>
        <v/>
      </c>
      <c r="T377" s="52" t="str">
        <f t="shared" si="4"/>
        <v/>
      </c>
      <c r="U377" s="46" t="str">
        <f t="shared" si="5"/>
        <v/>
      </c>
      <c r="V377" s="53" t="str">
        <f>IFERROR(__xludf.DUMMYFUNCTION(" IF(Account!$F377&lt;&gt;"""", SPLIT(Account!$F377, "" ""), """")"),"")</f>
        <v/>
      </c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</row>
    <row r="378">
      <c r="A378" s="11"/>
      <c r="B378" s="11"/>
      <c r="C378" s="11"/>
      <c r="D378" s="11"/>
      <c r="E378" s="11"/>
      <c r="F378" s="12"/>
      <c r="G378" s="11"/>
      <c r="H378" s="11"/>
      <c r="I378" s="11"/>
      <c r="J378" s="11"/>
      <c r="K378" s="11"/>
      <c r="L378" s="45" t="str">
        <f t="shared" si="1"/>
        <v/>
      </c>
      <c r="M378" s="46" t="str">
        <f>IFERROR(__xludf.DUMMYFUNCTION("IF(Account!$F378&lt;&gt;"""", VALUE(REGEXREPLACE($I378, ""\,"", ""."")), """")"),"")</f>
        <v/>
      </c>
      <c r="N378" s="47" t="str">
        <f>IF(Account!$F378&lt;&gt;"", DATEVALUE(MID($A378,4,3) &amp; LEFT($A378,3) &amp; RIGHT($A378,4)) + TIMEVALUE($B378), "")</f>
        <v/>
      </c>
      <c r="O378" s="48" t="str">
        <f>IF(Account!$F378&lt;&gt;"", DATEVALUE(MID($A378,4,3) &amp; LEFT($A378,3) &amp; RIGHT($A378,4)), "")</f>
        <v/>
      </c>
      <c r="P378" s="49" t="str">
        <f>IFERROR(VLOOKUP($Q378,Selection!$F:$G,2,false))</f>
        <v/>
      </c>
      <c r="Q378" s="50" t="str">
        <f>IF(AND($X378="change",$H378="EUR"),IF(AND($Z378="Crédit",$N378=$N379),$Q379,IF(AND($Z378="Débit",$N378=$N377),$Q377)),IF(OR(AND(OR($E378&lt;&gt;"",$L378=""),$M378&lt;&gt;0),$A378=""),IFERROR(VLOOKUP($E378,Selection!$E:$F,2,false)),IFERROR(VLOOKUP(SUBSTITUTE($I378,"-","",1),$K379:$Q1119,7,false),VLOOKUP($K378,$K379:$Q1119,7,false))))</f>
        <v/>
      </c>
      <c r="R378" s="49" t="str">
        <f t="shared" si="2"/>
        <v/>
      </c>
      <c r="S378" s="51" t="str">
        <f t="shared" si="3"/>
        <v/>
      </c>
      <c r="T378" s="52" t="str">
        <f t="shared" si="4"/>
        <v/>
      </c>
      <c r="U378" s="46" t="str">
        <f t="shared" si="5"/>
        <v/>
      </c>
      <c r="V378" s="53" t="str">
        <f>IFERROR(__xludf.DUMMYFUNCTION(" IF(Account!$F378&lt;&gt;"""", SPLIT(Account!$F378, "" ""), """")"),"")</f>
        <v/>
      </c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</row>
    <row r="379">
      <c r="A379" s="11"/>
      <c r="B379" s="11"/>
      <c r="C379" s="11"/>
      <c r="D379" s="11"/>
      <c r="E379" s="11"/>
      <c r="F379" s="12"/>
      <c r="G379" s="215"/>
      <c r="H379" s="11"/>
      <c r="I379" s="11"/>
      <c r="J379" s="11"/>
      <c r="K379" s="11"/>
      <c r="L379" s="45" t="str">
        <f t="shared" si="1"/>
        <v/>
      </c>
      <c r="M379" s="46" t="str">
        <f>IFERROR(__xludf.DUMMYFUNCTION("IF(Account!$F379&lt;&gt;"""", VALUE(REGEXREPLACE($I379, ""\,"", ""."")), """")"),"")</f>
        <v/>
      </c>
      <c r="N379" s="47" t="str">
        <f>IF(Account!$F379&lt;&gt;"", DATEVALUE(MID($A379,4,3) &amp; LEFT($A379,3) &amp; RIGHT($A379,4)) + TIMEVALUE($B379), "")</f>
        <v/>
      </c>
      <c r="O379" s="48" t="str">
        <f>IF(Account!$F379&lt;&gt;"", DATEVALUE(MID($A379,4,3) &amp; LEFT($A379,3) &amp; RIGHT($A379,4)), "")</f>
        <v/>
      </c>
      <c r="P379" s="49" t="str">
        <f>IFERROR(VLOOKUP($Q379,Selection!$F:$G,2,false))</f>
        <v/>
      </c>
      <c r="Q379" s="50" t="str">
        <f>IF(AND($X379="change",$H379="EUR"),IF(AND($Z379="Crédit",$N379=$N380),$Q380,IF(AND($Z379="Débit",$N379=$N378),$Q378)),IF(OR(AND(OR($E379&lt;&gt;"",$L379=""),$M379&lt;&gt;0),$A379=""),IFERROR(VLOOKUP($E379,Selection!$E:$F,2,false)),IFERROR(VLOOKUP(SUBSTITUTE($I379,"-","",1),$K380:$Q1119,7,false),VLOOKUP($K379,$K380:$Q1119,7,false))))</f>
        <v/>
      </c>
      <c r="R379" s="49" t="str">
        <f t="shared" si="2"/>
        <v/>
      </c>
      <c r="S379" s="51" t="str">
        <f t="shared" si="3"/>
        <v/>
      </c>
      <c r="T379" s="52" t="str">
        <f t="shared" si="4"/>
        <v/>
      </c>
      <c r="U379" s="46" t="str">
        <f t="shared" si="5"/>
        <v/>
      </c>
      <c r="V379" s="53" t="str">
        <f>IFERROR(__xludf.DUMMYFUNCTION(" IF(Account!$F379&lt;&gt;"""", SPLIT(Account!$F379, "" ""), """")"),"")</f>
        <v/>
      </c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</row>
    <row r="380">
      <c r="A380" s="11"/>
      <c r="B380" s="11"/>
      <c r="C380" s="11"/>
      <c r="D380" s="11"/>
      <c r="E380" s="11"/>
      <c r="F380" s="12"/>
      <c r="G380" s="11"/>
      <c r="H380" s="11"/>
      <c r="I380" s="11"/>
      <c r="J380" s="11"/>
      <c r="K380" s="11"/>
      <c r="L380" s="45" t="str">
        <f t="shared" si="1"/>
        <v/>
      </c>
      <c r="M380" s="46" t="str">
        <f>IFERROR(__xludf.DUMMYFUNCTION("IF(Account!$F380&lt;&gt;"""", VALUE(REGEXREPLACE($I380, ""\,"", ""."")), """")"),"")</f>
        <v/>
      </c>
      <c r="N380" s="47" t="str">
        <f>IF(Account!$F380&lt;&gt;"", DATEVALUE(MID($A380,4,3) &amp; LEFT($A380,3) &amp; RIGHT($A380,4)) + TIMEVALUE($B380), "")</f>
        <v/>
      </c>
      <c r="O380" s="48" t="str">
        <f>IF(Account!$F380&lt;&gt;"", DATEVALUE(MID($A380,4,3) &amp; LEFT($A380,3) &amp; RIGHT($A380,4)), "")</f>
        <v/>
      </c>
      <c r="P380" s="49" t="str">
        <f>IFERROR(VLOOKUP($Q380,Selection!$F:$G,2,false))</f>
        <v/>
      </c>
      <c r="Q380" s="50" t="str">
        <f>IF(AND($X380="change",$H380="EUR"),IF(AND($Z380="Crédit",$N380=$N381),$Q381,IF(AND($Z380="Débit",$N380=$N379),$Q379)),IF(OR(AND(OR($E380&lt;&gt;"",$L380=""),$M380&lt;&gt;0),$A380=""),IFERROR(VLOOKUP($E380,Selection!$E:$F,2,false)),IFERROR(VLOOKUP(SUBSTITUTE($I380,"-","",1),$K381:$Q1119,7,false),VLOOKUP($K380,$K381:$Q1119,7,false))))</f>
        <v/>
      </c>
      <c r="R380" s="49" t="str">
        <f t="shared" si="2"/>
        <v/>
      </c>
      <c r="S380" s="51" t="str">
        <f t="shared" si="3"/>
        <v/>
      </c>
      <c r="T380" s="52" t="str">
        <f t="shared" si="4"/>
        <v/>
      </c>
      <c r="U380" s="46" t="str">
        <f t="shared" si="5"/>
        <v/>
      </c>
      <c r="V380" s="53" t="str">
        <f>IFERROR(__xludf.DUMMYFUNCTION(" IF(Account!$F380&lt;&gt;"""", SPLIT(Account!$F380, "" ""), """")"),"")</f>
        <v/>
      </c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</row>
    <row r="381">
      <c r="A381" s="11"/>
      <c r="B381" s="11"/>
      <c r="C381" s="11"/>
      <c r="D381" s="11"/>
      <c r="E381" s="11"/>
      <c r="F381" s="12"/>
      <c r="G381" s="215"/>
      <c r="H381" s="11"/>
      <c r="I381" s="11"/>
      <c r="J381" s="11"/>
      <c r="K381" s="11"/>
      <c r="L381" s="45" t="str">
        <f t="shared" si="1"/>
        <v/>
      </c>
      <c r="M381" s="46" t="str">
        <f>IFERROR(__xludf.DUMMYFUNCTION("IF(Account!$F381&lt;&gt;"""", VALUE(REGEXREPLACE($I381, ""\,"", ""."")), """")"),"")</f>
        <v/>
      </c>
      <c r="N381" s="47" t="str">
        <f>IF(Account!$F381&lt;&gt;"", DATEVALUE(MID($A381,4,3) &amp; LEFT($A381,3) &amp; RIGHT($A381,4)) + TIMEVALUE($B381), "")</f>
        <v/>
      </c>
      <c r="O381" s="48" t="str">
        <f>IF(Account!$F381&lt;&gt;"", DATEVALUE(MID($A381,4,3) &amp; LEFT($A381,3) &amp; RIGHT($A381,4)), "")</f>
        <v/>
      </c>
      <c r="P381" s="49" t="str">
        <f>IFERROR(VLOOKUP($Q381,Selection!$F:$G,2,false))</f>
        <v/>
      </c>
      <c r="Q381" s="50" t="str">
        <f>IF(AND($X381="change",$H381="EUR"),IF(AND($Z381="Crédit",$N381=$N382),$Q382,IF(AND($Z381="Débit",$N381=$N380),$Q380)),IF(OR(AND(OR($E381&lt;&gt;"",$L381=""),$M381&lt;&gt;0),$A381=""),IFERROR(VLOOKUP($E381,Selection!$E:$F,2,false)),IFERROR(VLOOKUP(SUBSTITUTE($I381,"-","",1),$K382:$Q1119,7,false),VLOOKUP($K381,$K382:$Q1119,7,false))))</f>
        <v/>
      </c>
      <c r="R381" s="49" t="str">
        <f t="shared" si="2"/>
        <v/>
      </c>
      <c r="S381" s="51" t="str">
        <f t="shared" si="3"/>
        <v/>
      </c>
      <c r="T381" s="52" t="str">
        <f t="shared" si="4"/>
        <v/>
      </c>
      <c r="U381" s="46" t="str">
        <f t="shared" si="5"/>
        <v/>
      </c>
      <c r="V381" s="53" t="str">
        <f>IFERROR(__xludf.DUMMYFUNCTION(" IF(Account!$F381&lt;&gt;"""", SPLIT(Account!$F381, "" ""), """")"),"")</f>
        <v/>
      </c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</row>
    <row r="382">
      <c r="A382" s="11"/>
      <c r="B382" s="11"/>
      <c r="C382" s="11"/>
      <c r="D382" s="11"/>
      <c r="E382" s="11"/>
      <c r="F382" s="12"/>
      <c r="G382" s="215"/>
      <c r="H382" s="11"/>
      <c r="I382" s="11"/>
      <c r="J382" s="11"/>
      <c r="K382" s="11"/>
      <c r="L382" s="45" t="str">
        <f t="shared" si="1"/>
        <v/>
      </c>
      <c r="M382" s="46" t="str">
        <f>IFERROR(__xludf.DUMMYFUNCTION("IF(Account!$F382&lt;&gt;"""", VALUE(REGEXREPLACE($I382, ""\,"", ""."")), """")"),"")</f>
        <v/>
      </c>
      <c r="N382" s="47" t="str">
        <f>IF(Account!$F382&lt;&gt;"", DATEVALUE(MID($A382,4,3) &amp; LEFT($A382,3) &amp; RIGHT($A382,4)) + TIMEVALUE($B382), "")</f>
        <v/>
      </c>
      <c r="O382" s="48" t="str">
        <f>IF(Account!$F382&lt;&gt;"", DATEVALUE(MID($A382,4,3) &amp; LEFT($A382,3) &amp; RIGHT($A382,4)), "")</f>
        <v/>
      </c>
      <c r="P382" s="49" t="str">
        <f>IFERROR(VLOOKUP($Q382,Selection!$F:$G,2,false))</f>
        <v/>
      </c>
      <c r="Q382" s="50" t="str">
        <f>IF(AND($X382="change",$H382="EUR"),IF(AND($Z382="Crédit",$N382=$N383),$Q383,IF(AND($Z382="Débit",$N382=$N381),$Q381)),IF(OR(AND(OR($E382&lt;&gt;"",$L382=""),$M382&lt;&gt;0),$A382=""),IFERROR(VLOOKUP($E382,Selection!$E:$F,2,false)),IFERROR(VLOOKUP(SUBSTITUTE($I382,"-","",1),$K383:$Q1119,7,false),VLOOKUP($K382,$K383:$Q1119,7,false))))</f>
        <v/>
      </c>
      <c r="R382" s="49" t="str">
        <f t="shared" si="2"/>
        <v/>
      </c>
      <c r="S382" s="51" t="str">
        <f t="shared" si="3"/>
        <v/>
      </c>
      <c r="T382" s="52" t="str">
        <f t="shared" si="4"/>
        <v/>
      </c>
      <c r="U382" s="46" t="str">
        <f t="shared" si="5"/>
        <v/>
      </c>
      <c r="V382" s="53" t="str">
        <f>IFERROR(__xludf.DUMMYFUNCTION(" IF(Account!$F382&lt;&gt;"""", SPLIT(Account!$F382, "" ""), """")"),"")</f>
        <v/>
      </c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</row>
    <row r="383">
      <c r="A383" s="11"/>
      <c r="B383" s="11"/>
      <c r="C383" s="11"/>
      <c r="D383" s="11"/>
      <c r="E383" s="11"/>
      <c r="F383" s="12"/>
      <c r="G383" s="215"/>
      <c r="H383" s="11"/>
      <c r="I383" s="11"/>
      <c r="J383" s="11"/>
      <c r="K383" s="11"/>
      <c r="L383" s="45" t="str">
        <f t="shared" si="1"/>
        <v/>
      </c>
      <c r="M383" s="46" t="str">
        <f>IFERROR(__xludf.DUMMYFUNCTION("IF(Account!$F383&lt;&gt;"""", VALUE(REGEXREPLACE($I383, ""\,"", ""."")), """")"),"")</f>
        <v/>
      </c>
      <c r="N383" s="47" t="str">
        <f>IF(Account!$F383&lt;&gt;"", DATEVALUE(MID($A383,4,3) &amp; LEFT($A383,3) &amp; RIGHT($A383,4)) + TIMEVALUE($B383), "")</f>
        <v/>
      </c>
      <c r="O383" s="48" t="str">
        <f>IF(Account!$F383&lt;&gt;"", DATEVALUE(MID($A383,4,3) &amp; LEFT($A383,3) &amp; RIGHT($A383,4)), "")</f>
        <v/>
      </c>
      <c r="P383" s="49" t="str">
        <f>IFERROR(VLOOKUP($Q383,Selection!$F:$G,2,false))</f>
        <v/>
      </c>
      <c r="Q383" s="50" t="str">
        <f>IF(AND($X383="change",$H383="EUR"),IF(AND($Z383="Crédit",$N383=$N384),$Q384,IF(AND($Z383="Débit",$N383=$N382),$Q382)),IF(OR(AND(OR($E383&lt;&gt;"",$L383=""),$M383&lt;&gt;0),$A383=""),IFERROR(VLOOKUP($E383,Selection!$E:$F,2,false)),IFERROR(VLOOKUP(SUBSTITUTE($I383,"-","",1),$K384:$Q1119,7,false),VLOOKUP($K383,$K384:$Q1119,7,false))))</f>
        <v/>
      </c>
      <c r="R383" s="49" t="str">
        <f t="shared" si="2"/>
        <v/>
      </c>
      <c r="S383" s="51" t="str">
        <f t="shared" si="3"/>
        <v/>
      </c>
      <c r="T383" s="52" t="str">
        <f t="shared" si="4"/>
        <v/>
      </c>
      <c r="U383" s="46" t="str">
        <f t="shared" si="5"/>
        <v/>
      </c>
      <c r="V383" s="53" t="str">
        <f>IFERROR(__xludf.DUMMYFUNCTION(" IF(Account!$F383&lt;&gt;"""", SPLIT(Account!$F383, "" ""), """")"),"")</f>
        <v/>
      </c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</row>
    <row r="384">
      <c r="A384" s="11"/>
      <c r="B384" s="11"/>
      <c r="C384" s="11"/>
      <c r="D384" s="11"/>
      <c r="E384" s="11"/>
      <c r="F384" s="12"/>
      <c r="G384" s="215"/>
      <c r="H384" s="11"/>
      <c r="I384" s="11"/>
      <c r="J384" s="11"/>
      <c r="K384" s="11"/>
      <c r="L384" s="45" t="str">
        <f t="shared" si="1"/>
        <v/>
      </c>
      <c r="M384" s="46" t="str">
        <f>IFERROR(__xludf.DUMMYFUNCTION("IF(Account!$F384&lt;&gt;"""", VALUE(REGEXREPLACE($I384, ""\,"", ""."")), """")"),"")</f>
        <v/>
      </c>
      <c r="N384" s="47" t="str">
        <f>IF(Account!$F384&lt;&gt;"", DATEVALUE(MID($A384,4,3) &amp; LEFT($A384,3) &amp; RIGHT($A384,4)) + TIMEVALUE($B384), "")</f>
        <v/>
      </c>
      <c r="O384" s="48" t="str">
        <f>IF(Account!$F384&lt;&gt;"", DATEVALUE(MID($A384,4,3) &amp; LEFT($A384,3) &amp; RIGHT($A384,4)), "")</f>
        <v/>
      </c>
      <c r="P384" s="49" t="str">
        <f>IFERROR(VLOOKUP($Q384,Selection!$F:$G,2,false))</f>
        <v/>
      </c>
      <c r="Q384" s="50" t="str">
        <f>IF(AND($X384="change",$H384="EUR"),IF(AND($Z384="Crédit",$N384=$N385),$Q385,IF(AND($Z384="Débit",$N384=$N383),$Q383)),IF(OR(AND(OR($E384&lt;&gt;"",$L384=""),$M384&lt;&gt;0),$A384=""),IFERROR(VLOOKUP($E384,Selection!$E:$F,2,false)),IFERROR(VLOOKUP(SUBSTITUTE($I384,"-","",1),$K385:$Q1119,7,false),VLOOKUP($K384,$K385:$Q1119,7,false))))</f>
        <v/>
      </c>
      <c r="R384" s="49" t="str">
        <f t="shared" si="2"/>
        <v/>
      </c>
      <c r="S384" s="51" t="str">
        <f t="shared" si="3"/>
        <v/>
      </c>
      <c r="T384" s="52" t="str">
        <f t="shared" si="4"/>
        <v/>
      </c>
      <c r="U384" s="46" t="str">
        <f t="shared" si="5"/>
        <v/>
      </c>
      <c r="V384" s="53" t="str">
        <f>IFERROR(__xludf.DUMMYFUNCTION(" IF(Account!$F384&lt;&gt;"""", SPLIT(Account!$F384, "" ""), """")"),"")</f>
        <v/>
      </c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</row>
    <row r="385">
      <c r="A385" s="11"/>
      <c r="B385" s="11"/>
      <c r="C385" s="11"/>
      <c r="D385" s="11"/>
      <c r="E385" s="11"/>
      <c r="F385" s="12"/>
      <c r="G385" s="215"/>
      <c r="H385" s="11"/>
      <c r="I385" s="11"/>
      <c r="J385" s="11"/>
      <c r="K385" s="11"/>
      <c r="L385" s="45" t="str">
        <f t="shared" si="1"/>
        <v/>
      </c>
      <c r="M385" s="46" t="str">
        <f>IFERROR(__xludf.DUMMYFUNCTION("IF(Account!$F385&lt;&gt;"""", VALUE(REGEXREPLACE($I385, ""\,"", ""."")), """")"),"")</f>
        <v/>
      </c>
      <c r="N385" s="47" t="str">
        <f>IF(Account!$F385&lt;&gt;"", DATEVALUE(MID($A385,4,3) &amp; LEFT($A385,3) &amp; RIGHT($A385,4)) + TIMEVALUE($B385), "")</f>
        <v/>
      </c>
      <c r="O385" s="48" t="str">
        <f>IF(Account!$F385&lt;&gt;"", DATEVALUE(MID($A385,4,3) &amp; LEFT($A385,3) &amp; RIGHT($A385,4)), "")</f>
        <v/>
      </c>
      <c r="P385" s="49" t="str">
        <f>IFERROR(VLOOKUP($Q385,Selection!$F:$G,2,false))</f>
        <v/>
      </c>
      <c r="Q385" s="50" t="str">
        <f>IF(AND($X385="change",$H385="EUR"),IF(AND($Z385="Crédit",$N385=$N386),$Q386,IF(AND($Z385="Débit",$N385=$N384),$Q384)),IF(OR(AND(OR($E385&lt;&gt;"",$L385=""),$M385&lt;&gt;0),$A385=""),IFERROR(VLOOKUP($E385,Selection!$E:$F,2,false)),IFERROR(VLOOKUP(SUBSTITUTE($I385,"-","",1),$K386:$Q1119,7,false),VLOOKUP($K385,$K386:$Q1119,7,false))))</f>
        <v/>
      </c>
      <c r="R385" s="49" t="str">
        <f t="shared" si="2"/>
        <v/>
      </c>
      <c r="S385" s="51" t="str">
        <f t="shared" si="3"/>
        <v/>
      </c>
      <c r="T385" s="52" t="str">
        <f t="shared" si="4"/>
        <v/>
      </c>
      <c r="U385" s="46" t="str">
        <f t="shared" si="5"/>
        <v/>
      </c>
      <c r="V385" s="53" t="str">
        <f>IFERROR(__xludf.DUMMYFUNCTION(" IF(Account!$F385&lt;&gt;"""", SPLIT(Account!$F385, "" ""), """")"),"")</f>
        <v/>
      </c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</row>
    <row r="386">
      <c r="A386" s="11"/>
      <c r="B386" s="11"/>
      <c r="C386" s="11"/>
      <c r="D386" s="11"/>
      <c r="E386" s="11"/>
      <c r="F386" s="12"/>
      <c r="G386" s="215"/>
      <c r="H386" s="11"/>
      <c r="I386" s="11"/>
      <c r="J386" s="11"/>
      <c r="K386" s="11"/>
      <c r="L386" s="45" t="str">
        <f t="shared" si="1"/>
        <v/>
      </c>
      <c r="M386" s="46" t="str">
        <f>IFERROR(__xludf.DUMMYFUNCTION("IF(Account!$F386&lt;&gt;"""", VALUE(REGEXREPLACE($I386, ""\,"", ""."")), """")"),"")</f>
        <v/>
      </c>
      <c r="N386" s="47" t="str">
        <f>IF(Account!$F386&lt;&gt;"", DATEVALUE(MID($A386,4,3) &amp; LEFT($A386,3) &amp; RIGHT($A386,4)) + TIMEVALUE($B386), "")</f>
        <v/>
      </c>
      <c r="O386" s="48" t="str">
        <f>IF(Account!$F386&lt;&gt;"", DATEVALUE(MID($A386,4,3) &amp; LEFT($A386,3) &amp; RIGHT($A386,4)), "")</f>
        <v/>
      </c>
      <c r="P386" s="49" t="str">
        <f>IFERROR(VLOOKUP($Q386,Selection!$F:$G,2,false))</f>
        <v/>
      </c>
      <c r="Q386" s="50" t="str">
        <f>IF(AND($X386="change",$H386="EUR"),IF(AND($Z386="Crédit",$N386=$N387),$Q387,IF(AND($Z386="Débit",$N386=$N385),$Q385)),IF(OR(AND(OR($E386&lt;&gt;"",$L386=""),$M386&lt;&gt;0),$A386=""),IFERROR(VLOOKUP($E386,Selection!$E:$F,2,false)),IFERROR(VLOOKUP(SUBSTITUTE($I386,"-","",1),$K387:$Q1119,7,false),VLOOKUP($K386,$K387:$Q1119,7,false))))</f>
        <v/>
      </c>
      <c r="R386" s="49" t="str">
        <f t="shared" si="2"/>
        <v/>
      </c>
      <c r="S386" s="51" t="str">
        <f t="shared" si="3"/>
        <v/>
      </c>
      <c r="T386" s="52" t="str">
        <f t="shared" si="4"/>
        <v/>
      </c>
      <c r="U386" s="46" t="str">
        <f t="shared" si="5"/>
        <v/>
      </c>
      <c r="V386" s="53" t="str">
        <f>IFERROR(__xludf.DUMMYFUNCTION(" IF(Account!$F386&lt;&gt;"""", SPLIT(Account!$F386, "" ""), """")"),"")</f>
        <v/>
      </c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</row>
    <row r="387">
      <c r="A387" s="11"/>
      <c r="B387" s="11"/>
      <c r="C387" s="11"/>
      <c r="D387" s="11"/>
      <c r="E387" s="11"/>
      <c r="F387" s="12"/>
      <c r="G387" s="215"/>
      <c r="H387" s="11"/>
      <c r="I387" s="11"/>
      <c r="J387" s="11"/>
      <c r="K387" s="11"/>
      <c r="L387" s="45" t="str">
        <f t="shared" si="1"/>
        <v/>
      </c>
      <c r="M387" s="46" t="str">
        <f>IFERROR(__xludf.DUMMYFUNCTION("IF(Account!$F387&lt;&gt;"""", VALUE(REGEXREPLACE($I387, ""\,"", ""."")), """")"),"")</f>
        <v/>
      </c>
      <c r="N387" s="47" t="str">
        <f>IF(Account!$F387&lt;&gt;"", DATEVALUE(MID($A387,4,3) &amp; LEFT($A387,3) &amp; RIGHT($A387,4)) + TIMEVALUE($B387), "")</f>
        <v/>
      </c>
      <c r="O387" s="48" t="str">
        <f>IF(Account!$F387&lt;&gt;"", DATEVALUE(MID($A387,4,3) &amp; LEFT($A387,3) &amp; RIGHT($A387,4)), "")</f>
        <v/>
      </c>
      <c r="P387" s="49" t="str">
        <f>IFERROR(VLOOKUP($Q387,Selection!$F:$G,2,false))</f>
        <v/>
      </c>
      <c r="Q387" s="50" t="str">
        <f>IF(AND($X387="change",$H387="EUR"),IF(AND($Z387="Crédit",$N387=$N388),$Q388,IF(AND($Z387="Débit",$N387=$N386),$Q386)),IF(OR(AND(OR($E387&lt;&gt;"",$L387=""),$M387&lt;&gt;0),$A387=""),IFERROR(VLOOKUP($E387,Selection!$E:$F,2,false)),IFERROR(VLOOKUP(SUBSTITUTE($I387,"-","",1),$K388:$Q1119,7,false),VLOOKUP($K387,$K388:$Q1119,7,false))))</f>
        <v/>
      </c>
      <c r="R387" s="49" t="str">
        <f t="shared" si="2"/>
        <v/>
      </c>
      <c r="S387" s="51" t="str">
        <f t="shared" si="3"/>
        <v/>
      </c>
      <c r="T387" s="52" t="str">
        <f t="shared" si="4"/>
        <v/>
      </c>
      <c r="U387" s="46" t="str">
        <f t="shared" si="5"/>
        <v/>
      </c>
      <c r="V387" s="53" t="str">
        <f>IFERROR(__xludf.DUMMYFUNCTION(" IF(Account!$F387&lt;&gt;"""", SPLIT(Account!$F387, "" ""), """")"),"")</f>
        <v/>
      </c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</row>
    <row r="388">
      <c r="A388" s="11"/>
      <c r="B388" s="11"/>
      <c r="C388" s="11"/>
      <c r="D388" s="11"/>
      <c r="E388" s="11"/>
      <c r="F388" s="12"/>
      <c r="G388" s="215"/>
      <c r="H388" s="11"/>
      <c r="I388" s="11"/>
      <c r="J388" s="11"/>
      <c r="K388" s="11"/>
      <c r="L388" s="45" t="str">
        <f t="shared" si="1"/>
        <v/>
      </c>
      <c r="M388" s="46" t="str">
        <f>IFERROR(__xludf.DUMMYFUNCTION("IF(Account!$F388&lt;&gt;"""", VALUE(REGEXREPLACE($I388, ""\,"", ""."")), """")"),"")</f>
        <v/>
      </c>
      <c r="N388" s="47" t="str">
        <f>IF(Account!$F388&lt;&gt;"", DATEVALUE(MID($A388,4,3) &amp; LEFT($A388,3) &amp; RIGHT($A388,4)) + TIMEVALUE($B388), "")</f>
        <v/>
      </c>
      <c r="O388" s="48" t="str">
        <f>IF(Account!$F388&lt;&gt;"", DATEVALUE(MID($A388,4,3) &amp; LEFT($A388,3) &amp; RIGHT($A388,4)), "")</f>
        <v/>
      </c>
      <c r="P388" s="49" t="str">
        <f>IFERROR(VLOOKUP($Q388,Selection!$F:$G,2,false))</f>
        <v/>
      </c>
      <c r="Q388" s="50" t="str">
        <f>IF(AND($X388="change",$H388="EUR"),IF(AND($Z388="Crédit",$N388=$N389),$Q389,IF(AND($Z388="Débit",$N388=$N387),$Q387)),IF(OR(AND(OR($E388&lt;&gt;"",$L388=""),$M388&lt;&gt;0),$A388=""),IFERROR(VLOOKUP($E388,Selection!$E:$F,2,false)),IFERROR(VLOOKUP(SUBSTITUTE($I388,"-","",1),$K389:$Q1119,7,false),VLOOKUP($K388,$K389:$Q1119,7,false))))</f>
        <v/>
      </c>
      <c r="R388" s="49" t="str">
        <f t="shared" si="2"/>
        <v/>
      </c>
      <c r="S388" s="51" t="str">
        <f t="shared" si="3"/>
        <v/>
      </c>
      <c r="T388" s="52" t="str">
        <f t="shared" si="4"/>
        <v/>
      </c>
      <c r="U388" s="46" t="str">
        <f t="shared" si="5"/>
        <v/>
      </c>
      <c r="V388" s="53" t="str">
        <f>IFERROR(__xludf.DUMMYFUNCTION(" IF(Account!$F388&lt;&gt;"""", SPLIT(Account!$F388, "" ""), """")"),"")</f>
        <v/>
      </c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</row>
    <row r="389">
      <c r="A389" s="11"/>
      <c r="B389" s="11"/>
      <c r="C389" s="11"/>
      <c r="D389" s="11"/>
      <c r="E389" s="11"/>
      <c r="F389" s="12"/>
      <c r="G389" s="11"/>
      <c r="H389" s="11"/>
      <c r="I389" s="11"/>
      <c r="J389" s="11"/>
      <c r="K389" s="11"/>
      <c r="L389" s="45" t="str">
        <f t="shared" si="1"/>
        <v/>
      </c>
      <c r="M389" s="46" t="str">
        <f>IFERROR(__xludf.DUMMYFUNCTION("IF(Account!$F389&lt;&gt;"""", VALUE(REGEXREPLACE($I389, ""\,"", ""."")), """")"),"")</f>
        <v/>
      </c>
      <c r="N389" s="47" t="str">
        <f>IF(Account!$F389&lt;&gt;"", DATEVALUE(MID($A389,4,3) &amp; LEFT($A389,3) &amp; RIGHT($A389,4)) + TIMEVALUE($B389), "")</f>
        <v/>
      </c>
      <c r="O389" s="48" t="str">
        <f>IF(Account!$F389&lt;&gt;"", DATEVALUE(MID($A389,4,3) &amp; LEFT($A389,3) &amp; RIGHT($A389,4)), "")</f>
        <v/>
      </c>
      <c r="P389" s="49" t="str">
        <f>IFERROR(VLOOKUP($Q389,Selection!$F:$G,2,false))</f>
        <v/>
      </c>
      <c r="Q389" s="50" t="str">
        <f>IF(AND($X389="change",$H389="EUR"),IF(AND($Z389="Crédit",$N389=$N390),$Q390,IF(AND($Z389="Débit",$N389=$N388),$Q388)),IF(OR(AND(OR($E389&lt;&gt;"",$L389=""),$M389&lt;&gt;0),$A389=""),IFERROR(VLOOKUP($E389,Selection!$E:$F,2,false)),IFERROR(VLOOKUP(SUBSTITUTE($I389,"-","",1),$K390:$Q1119,7,false),VLOOKUP($K389,$K390:$Q1119,7,false))))</f>
        <v/>
      </c>
      <c r="R389" s="49" t="str">
        <f t="shared" si="2"/>
        <v/>
      </c>
      <c r="S389" s="51" t="str">
        <f t="shared" si="3"/>
        <v/>
      </c>
      <c r="T389" s="52" t="str">
        <f t="shared" si="4"/>
        <v/>
      </c>
      <c r="U389" s="46" t="str">
        <f t="shared" si="5"/>
        <v/>
      </c>
      <c r="V389" s="53" t="str">
        <f>IFERROR(__xludf.DUMMYFUNCTION(" IF(Account!$F389&lt;&gt;"""", SPLIT(Account!$F389, "" ""), """")"),"")</f>
        <v/>
      </c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</row>
    <row r="390">
      <c r="A390" s="11"/>
      <c r="B390" s="11"/>
      <c r="C390" s="11"/>
      <c r="D390" s="11"/>
      <c r="E390" s="11"/>
      <c r="F390" s="12"/>
      <c r="G390" s="215"/>
      <c r="H390" s="11"/>
      <c r="I390" s="11"/>
      <c r="J390" s="11"/>
      <c r="K390" s="11"/>
      <c r="L390" s="45" t="str">
        <f t="shared" si="1"/>
        <v/>
      </c>
      <c r="M390" s="46" t="str">
        <f>IFERROR(__xludf.DUMMYFUNCTION("IF(Account!$F390&lt;&gt;"""", VALUE(REGEXREPLACE($I390, ""\,"", ""."")), """")"),"")</f>
        <v/>
      </c>
      <c r="N390" s="47" t="str">
        <f>IF(Account!$F390&lt;&gt;"", DATEVALUE(MID($A390,4,3) &amp; LEFT($A390,3) &amp; RIGHT($A390,4)) + TIMEVALUE($B390), "")</f>
        <v/>
      </c>
      <c r="O390" s="48" t="str">
        <f>IF(Account!$F390&lt;&gt;"", DATEVALUE(MID($A390,4,3) &amp; LEFT($A390,3) &amp; RIGHT($A390,4)), "")</f>
        <v/>
      </c>
      <c r="P390" s="49" t="str">
        <f>IFERROR(VLOOKUP($Q390,Selection!$F:$G,2,false))</f>
        <v/>
      </c>
      <c r="Q390" s="50" t="str">
        <f>IF(AND($X390="change",$H390="EUR"),IF(AND($Z390="Crédit",$N390=$N391),$Q391,IF(AND($Z390="Débit",$N390=$N389),$Q389)),IF(OR(AND(OR($E390&lt;&gt;"",$L390=""),$M390&lt;&gt;0),$A390=""),IFERROR(VLOOKUP($E390,Selection!$E:$F,2,false)),IFERROR(VLOOKUP(SUBSTITUTE($I390,"-","",1),$K391:$Q1119,7,false),VLOOKUP($K390,$K391:$Q1119,7,false))))</f>
        <v/>
      </c>
      <c r="R390" s="49" t="str">
        <f t="shared" si="2"/>
        <v/>
      </c>
      <c r="S390" s="51" t="str">
        <f t="shared" si="3"/>
        <v/>
      </c>
      <c r="T390" s="52" t="str">
        <f t="shared" si="4"/>
        <v/>
      </c>
      <c r="U390" s="46" t="str">
        <f t="shared" si="5"/>
        <v/>
      </c>
      <c r="V390" s="53" t="str">
        <f>IFERROR(__xludf.DUMMYFUNCTION(" IF(Account!$F390&lt;&gt;"""", SPLIT(Account!$F390, "" ""), """")"),"")</f>
        <v/>
      </c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</row>
    <row r="391">
      <c r="A391" s="11"/>
      <c r="B391" s="11"/>
      <c r="C391" s="11"/>
      <c r="D391" s="11"/>
      <c r="E391" s="11"/>
      <c r="F391" s="12"/>
      <c r="G391" s="11"/>
      <c r="H391" s="11"/>
      <c r="I391" s="11"/>
      <c r="J391" s="11"/>
      <c r="K391" s="11"/>
      <c r="L391" s="45" t="str">
        <f t="shared" si="1"/>
        <v/>
      </c>
      <c r="M391" s="46" t="str">
        <f>IFERROR(__xludf.DUMMYFUNCTION("IF(Account!$F391&lt;&gt;"""", VALUE(REGEXREPLACE($I391, ""\,"", ""."")), """")"),"")</f>
        <v/>
      </c>
      <c r="N391" s="47" t="str">
        <f>IF(Account!$F391&lt;&gt;"", DATEVALUE(MID($A391,4,3) &amp; LEFT($A391,3) &amp; RIGHT($A391,4)) + TIMEVALUE($B391), "")</f>
        <v/>
      </c>
      <c r="O391" s="48" t="str">
        <f>IF(Account!$F391&lt;&gt;"", DATEVALUE(MID($A391,4,3) &amp; LEFT($A391,3) &amp; RIGHT($A391,4)), "")</f>
        <v/>
      </c>
      <c r="P391" s="49" t="str">
        <f>IFERROR(VLOOKUP($Q391,Selection!$F:$G,2,false))</f>
        <v/>
      </c>
      <c r="Q391" s="50" t="str">
        <f>IF(AND($X391="change",$H391="EUR"),IF(AND($Z391="Crédit",$N391=$N392),$Q392,IF(AND($Z391="Débit",$N391=$N390),$Q390)),IF(OR(AND(OR($E391&lt;&gt;"",$L391=""),$M391&lt;&gt;0),$A391=""),IFERROR(VLOOKUP($E391,Selection!$E:$F,2,false)),IFERROR(VLOOKUP(SUBSTITUTE($I391,"-","",1),$K392:$Q1119,7,false),VLOOKUP($K391,$K392:$Q1119,7,false))))</f>
        <v/>
      </c>
      <c r="R391" s="49" t="str">
        <f t="shared" si="2"/>
        <v/>
      </c>
      <c r="S391" s="51" t="str">
        <f t="shared" si="3"/>
        <v/>
      </c>
      <c r="T391" s="52" t="str">
        <f t="shared" si="4"/>
        <v/>
      </c>
      <c r="U391" s="46" t="str">
        <f t="shared" si="5"/>
        <v/>
      </c>
      <c r="V391" s="53" t="str">
        <f>IFERROR(__xludf.DUMMYFUNCTION(" IF(Account!$F391&lt;&gt;"""", SPLIT(Account!$F391, "" ""), """")"),"")</f>
        <v/>
      </c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</row>
    <row r="392">
      <c r="A392" s="11"/>
      <c r="B392" s="11"/>
      <c r="C392" s="11"/>
      <c r="D392" s="11"/>
      <c r="E392" s="11"/>
      <c r="F392" s="12"/>
      <c r="G392" s="215"/>
      <c r="H392" s="11"/>
      <c r="I392" s="11"/>
      <c r="J392" s="11"/>
      <c r="K392" s="11"/>
      <c r="L392" s="45" t="str">
        <f t="shared" si="1"/>
        <v/>
      </c>
      <c r="M392" s="46" t="str">
        <f>IFERROR(__xludf.DUMMYFUNCTION("IF(Account!$F392&lt;&gt;"""", VALUE(REGEXREPLACE($I392, ""\,"", ""."")), """")"),"")</f>
        <v/>
      </c>
      <c r="N392" s="47" t="str">
        <f>IF(Account!$F392&lt;&gt;"", DATEVALUE(MID($A392,4,3) &amp; LEFT($A392,3) &amp; RIGHT($A392,4)) + TIMEVALUE($B392), "")</f>
        <v/>
      </c>
      <c r="O392" s="48" t="str">
        <f>IF(Account!$F392&lt;&gt;"", DATEVALUE(MID($A392,4,3) &amp; LEFT($A392,3) &amp; RIGHT($A392,4)), "")</f>
        <v/>
      </c>
      <c r="P392" s="49" t="str">
        <f>IFERROR(VLOOKUP($Q392,Selection!$F:$G,2,false))</f>
        <v/>
      </c>
      <c r="Q392" s="50" t="str">
        <f>IF(AND($X392="change",$H392="EUR"),IF(AND($Z392="Crédit",$N392=$N393),$Q393,IF(AND($Z392="Débit",$N392=$N391),$Q391)),IF(OR(AND(OR($E392&lt;&gt;"",$L392=""),$M392&lt;&gt;0),$A392=""),IFERROR(VLOOKUP($E392,Selection!$E:$F,2,false)),IFERROR(VLOOKUP(SUBSTITUTE($I392,"-","",1),$K393:$Q1119,7,false),VLOOKUP($K392,$K393:$Q1119,7,false))))</f>
        <v/>
      </c>
      <c r="R392" s="49" t="str">
        <f t="shared" si="2"/>
        <v/>
      </c>
      <c r="S392" s="51" t="str">
        <f t="shared" si="3"/>
        <v/>
      </c>
      <c r="T392" s="52" t="str">
        <f t="shared" si="4"/>
        <v/>
      </c>
      <c r="U392" s="46" t="str">
        <f t="shared" si="5"/>
        <v/>
      </c>
      <c r="V392" s="53" t="str">
        <f>IFERROR(__xludf.DUMMYFUNCTION(" IF(Account!$F392&lt;&gt;"""", SPLIT(Account!$F392, "" ""), """")"),"")</f>
        <v/>
      </c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</row>
    <row r="393">
      <c r="A393" s="11"/>
      <c r="B393" s="11"/>
      <c r="C393" s="11"/>
      <c r="D393" s="11"/>
      <c r="E393" s="11"/>
      <c r="F393" s="12"/>
      <c r="G393" s="215"/>
      <c r="H393" s="11"/>
      <c r="I393" s="11"/>
      <c r="J393" s="11"/>
      <c r="K393" s="11"/>
      <c r="L393" s="45" t="str">
        <f t="shared" si="1"/>
        <v/>
      </c>
      <c r="M393" s="46" t="str">
        <f>IFERROR(__xludf.DUMMYFUNCTION("IF(Account!$F393&lt;&gt;"""", VALUE(REGEXREPLACE($I393, ""\,"", ""."")), """")"),"")</f>
        <v/>
      </c>
      <c r="N393" s="47" t="str">
        <f>IF(Account!$F393&lt;&gt;"", DATEVALUE(MID($A393,4,3) &amp; LEFT($A393,3) &amp; RIGHT($A393,4)) + TIMEVALUE($B393), "")</f>
        <v/>
      </c>
      <c r="O393" s="48" t="str">
        <f>IF(Account!$F393&lt;&gt;"", DATEVALUE(MID($A393,4,3) &amp; LEFT($A393,3) &amp; RIGHT($A393,4)), "")</f>
        <v/>
      </c>
      <c r="P393" s="49" t="str">
        <f>IFERROR(VLOOKUP($Q393,Selection!$F:$G,2,false))</f>
        <v/>
      </c>
      <c r="Q393" s="50" t="str">
        <f>IF(AND($X393="change",$H393="EUR"),IF(AND($Z393="Crédit",$N393=$N394),$Q394,IF(AND($Z393="Débit",$N393=$N392),$Q392)),IF(OR(AND(OR($E393&lt;&gt;"",$L393=""),$M393&lt;&gt;0),$A393=""),IFERROR(VLOOKUP($E393,Selection!$E:$F,2,false)),IFERROR(VLOOKUP(SUBSTITUTE($I393,"-","",1),$K394:$Q1119,7,false),VLOOKUP($K393,$K394:$Q1119,7,false))))</f>
        <v/>
      </c>
      <c r="R393" s="49" t="str">
        <f t="shared" si="2"/>
        <v/>
      </c>
      <c r="S393" s="51" t="str">
        <f t="shared" si="3"/>
        <v/>
      </c>
      <c r="T393" s="52" t="str">
        <f t="shared" si="4"/>
        <v/>
      </c>
      <c r="U393" s="46" t="str">
        <f t="shared" si="5"/>
        <v/>
      </c>
      <c r="V393" s="53" t="str">
        <f>IFERROR(__xludf.DUMMYFUNCTION(" IF(Account!$F393&lt;&gt;"""", SPLIT(Account!$F393, "" ""), """")"),"")</f>
        <v/>
      </c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</row>
    <row r="394">
      <c r="A394" s="215"/>
      <c r="B394" s="215"/>
      <c r="C394" s="215"/>
      <c r="D394" s="215"/>
      <c r="E394" s="215"/>
      <c r="F394" s="12"/>
      <c r="G394" s="215"/>
      <c r="H394" s="215"/>
      <c r="I394" s="215"/>
      <c r="J394" s="215"/>
      <c r="K394" s="215"/>
      <c r="L394" s="45" t="str">
        <f t="shared" si="1"/>
        <v/>
      </c>
      <c r="M394" s="46" t="str">
        <f>IFERROR(__xludf.DUMMYFUNCTION("IF(Account!$F394&lt;&gt;"""", VALUE(REGEXREPLACE($I394, ""\,"", ""."")), """")"),"")</f>
        <v/>
      </c>
      <c r="N394" s="47" t="str">
        <f>IF(Account!$F394&lt;&gt;"", DATEVALUE(MID($A394,4,3) &amp; LEFT($A394,3) &amp; RIGHT($A394,4)) + TIMEVALUE($B394), "")</f>
        <v/>
      </c>
      <c r="O394" s="48" t="str">
        <f>IF(Account!$F394&lt;&gt;"", DATEVALUE(MID($A394,4,3) &amp; LEFT($A394,3) &amp; RIGHT($A394,4)), "")</f>
        <v/>
      </c>
      <c r="P394" s="49" t="str">
        <f>IFERROR(VLOOKUP($Q394,Selection!$F:$G,2,false))</f>
        <v/>
      </c>
      <c r="Q394" s="50" t="str">
        <f>IF(AND($X394="change",$H394="EUR"),IF(AND($Z394="Crédit",$N394=$N395),$Q395,IF(AND($Z394="Débit",$N394=$N393),$Q393)),IF(OR(AND(OR($E394&lt;&gt;"",$L394=""),$M394&lt;&gt;0),$A394=""),IFERROR(VLOOKUP($E394,Selection!$E:$F,2,false)),IFERROR(VLOOKUP(SUBSTITUTE($I394,"-","",1),$K395:$Q1119,7,false),VLOOKUP($K394,$K395:$Q1119,7,false))))</f>
        <v/>
      </c>
      <c r="R394" s="49" t="str">
        <f t="shared" si="2"/>
        <v/>
      </c>
      <c r="S394" s="51" t="str">
        <f t="shared" si="3"/>
        <v/>
      </c>
      <c r="T394" s="52" t="str">
        <f t="shared" si="4"/>
        <v/>
      </c>
      <c r="U394" s="46" t="str">
        <f t="shared" si="5"/>
        <v/>
      </c>
      <c r="V394" s="53" t="str">
        <f>IFERROR(__xludf.DUMMYFUNCTION(" IF(Account!$F394&lt;&gt;"""", SPLIT(Account!$F394, "" ""), """")"),"")</f>
        <v/>
      </c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</row>
    <row r="395">
      <c r="A395" s="11"/>
      <c r="B395" s="11"/>
      <c r="C395" s="11"/>
      <c r="D395" s="11"/>
      <c r="E395" s="11"/>
      <c r="F395" s="12"/>
      <c r="G395" s="215"/>
      <c r="H395" s="11"/>
      <c r="I395" s="11"/>
      <c r="J395" s="11"/>
      <c r="K395" s="11"/>
      <c r="L395" s="45" t="str">
        <f t="shared" si="1"/>
        <v/>
      </c>
      <c r="M395" s="46" t="str">
        <f>IFERROR(__xludf.DUMMYFUNCTION("IF(Account!$F395&lt;&gt;"""", VALUE(REGEXREPLACE($I395, ""\,"", ""."")), """")"),"")</f>
        <v/>
      </c>
      <c r="N395" s="47" t="str">
        <f>IF(Account!$F395&lt;&gt;"", DATEVALUE(MID($A395,4,3) &amp; LEFT($A395,3) &amp; RIGHT($A395,4)) + TIMEVALUE($B395), "")</f>
        <v/>
      </c>
      <c r="O395" s="48" t="str">
        <f>IF(Account!$F395&lt;&gt;"", DATEVALUE(MID($A395,4,3) &amp; LEFT($A395,3) &amp; RIGHT($A395,4)), "")</f>
        <v/>
      </c>
      <c r="P395" s="49" t="str">
        <f>IFERROR(VLOOKUP($Q395,Selection!$F:$G,2,false))</f>
        <v/>
      </c>
      <c r="Q395" s="50" t="str">
        <f>IF(AND($X395="change",$H395="EUR"),IF(AND($Z395="Crédit",$N395=$N396),$Q396,IF(AND($Z395="Débit",$N395=$N394),$Q394)),IF(OR(AND(OR($E395&lt;&gt;"",$L395=""),$M395&lt;&gt;0),$A395=""),IFERROR(VLOOKUP($E395,Selection!$E:$F,2,false)),IFERROR(VLOOKUP(SUBSTITUTE($I395,"-","",1),$K396:$Q1119,7,false),VLOOKUP($K395,$K396:$Q1119,7,false))))</f>
        <v/>
      </c>
      <c r="R395" s="49" t="str">
        <f t="shared" si="2"/>
        <v/>
      </c>
      <c r="S395" s="51" t="str">
        <f t="shared" si="3"/>
        <v/>
      </c>
      <c r="T395" s="52" t="str">
        <f t="shared" si="4"/>
        <v/>
      </c>
      <c r="U395" s="46" t="str">
        <f t="shared" si="5"/>
        <v/>
      </c>
      <c r="V395" s="53" t="str">
        <f>IFERROR(__xludf.DUMMYFUNCTION(" IF(Account!$F395&lt;&gt;"""", SPLIT(Account!$F395, "" ""), """")"),"")</f>
        <v/>
      </c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</row>
    <row r="396">
      <c r="A396" s="11"/>
      <c r="B396" s="11"/>
      <c r="C396" s="11"/>
      <c r="D396" s="11"/>
      <c r="E396" s="11"/>
      <c r="F396" s="12"/>
      <c r="G396" s="11"/>
      <c r="H396" s="11"/>
      <c r="I396" s="11"/>
      <c r="J396" s="11"/>
      <c r="K396" s="11"/>
      <c r="L396" s="45" t="str">
        <f t="shared" si="1"/>
        <v/>
      </c>
      <c r="M396" s="46" t="str">
        <f>IFERROR(__xludf.DUMMYFUNCTION("IF(Account!$F396&lt;&gt;"""", VALUE(REGEXREPLACE($I396, ""\,"", ""."")), """")"),"")</f>
        <v/>
      </c>
      <c r="N396" s="47" t="str">
        <f>IF(Account!$F396&lt;&gt;"", DATEVALUE(MID($A396,4,3) &amp; LEFT($A396,3) &amp; RIGHT($A396,4)) + TIMEVALUE($B396), "")</f>
        <v/>
      </c>
      <c r="O396" s="48" t="str">
        <f>IF(Account!$F396&lt;&gt;"", DATEVALUE(MID($A396,4,3) &amp; LEFT($A396,3) &amp; RIGHT($A396,4)), "")</f>
        <v/>
      </c>
      <c r="P396" s="49" t="str">
        <f>IFERROR(VLOOKUP($Q396,Selection!$F:$G,2,false))</f>
        <v/>
      </c>
      <c r="Q396" s="50" t="str">
        <f>IF(AND($X396="change",$H396="EUR"),IF(AND($Z396="Crédit",$N396=$N397),$Q397,IF(AND($Z396="Débit",$N396=$N395),$Q395)),IF(OR(AND(OR($E396&lt;&gt;"",$L396=""),$M396&lt;&gt;0),$A396=""),IFERROR(VLOOKUP($E396,Selection!$E:$F,2,false)),IFERROR(VLOOKUP(SUBSTITUTE($I396,"-","",1),$K397:$Q1119,7,false),VLOOKUP($K396,$K397:$Q1119,7,false))))</f>
        <v/>
      </c>
      <c r="R396" s="49" t="str">
        <f t="shared" si="2"/>
        <v/>
      </c>
      <c r="S396" s="51" t="str">
        <f t="shared" si="3"/>
        <v/>
      </c>
      <c r="T396" s="52" t="str">
        <f t="shared" si="4"/>
        <v/>
      </c>
      <c r="U396" s="46" t="str">
        <f t="shared" si="5"/>
        <v/>
      </c>
      <c r="V396" s="53" t="str">
        <f>IFERROR(__xludf.DUMMYFUNCTION(" IF(Account!$F396&lt;&gt;"""", SPLIT(Account!$F396, "" ""), """")"),"")</f>
        <v/>
      </c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</row>
    <row r="397">
      <c r="A397" s="11"/>
      <c r="B397" s="11"/>
      <c r="C397" s="11"/>
      <c r="D397" s="11"/>
      <c r="E397" s="11"/>
      <c r="F397" s="12"/>
      <c r="G397" s="215"/>
      <c r="H397" s="11"/>
      <c r="I397" s="11"/>
      <c r="J397" s="11"/>
      <c r="K397" s="11"/>
      <c r="L397" s="45" t="str">
        <f t="shared" si="1"/>
        <v/>
      </c>
      <c r="M397" s="46" t="str">
        <f>IFERROR(__xludf.DUMMYFUNCTION("IF(Account!$F397&lt;&gt;"""", VALUE(REGEXREPLACE($I397, ""\,"", ""."")), """")"),"")</f>
        <v/>
      </c>
      <c r="N397" s="47" t="str">
        <f>IF(Account!$F397&lt;&gt;"", DATEVALUE(MID($A397,4,3) &amp; LEFT($A397,3) &amp; RIGHT($A397,4)) + TIMEVALUE($B397), "")</f>
        <v/>
      </c>
      <c r="O397" s="48" t="str">
        <f>IF(Account!$F397&lt;&gt;"", DATEVALUE(MID($A397,4,3) &amp; LEFT($A397,3) &amp; RIGHT($A397,4)), "")</f>
        <v/>
      </c>
      <c r="P397" s="49" t="str">
        <f>IFERROR(VLOOKUP($Q397,Selection!$F:$G,2,false))</f>
        <v/>
      </c>
      <c r="Q397" s="50" t="str">
        <f>IF(AND($X397="change",$H397="EUR"),IF(AND($Z397="Crédit",$N397=$N398),$Q398,IF(AND($Z397="Débit",$N397=$N396),$Q396)),IF(OR(AND(OR($E397&lt;&gt;"",$L397=""),$M397&lt;&gt;0),$A397=""),IFERROR(VLOOKUP($E397,Selection!$E:$F,2,false)),IFERROR(VLOOKUP(SUBSTITUTE($I397,"-","",1),$K398:$Q1119,7,false),VLOOKUP($K397,$K398:$Q1119,7,false))))</f>
        <v/>
      </c>
      <c r="R397" s="49" t="str">
        <f t="shared" si="2"/>
        <v/>
      </c>
      <c r="S397" s="51" t="str">
        <f t="shared" si="3"/>
        <v/>
      </c>
      <c r="T397" s="52" t="str">
        <f t="shared" si="4"/>
        <v/>
      </c>
      <c r="U397" s="46" t="str">
        <f t="shared" si="5"/>
        <v/>
      </c>
      <c r="V397" s="53" t="str">
        <f>IFERROR(__xludf.DUMMYFUNCTION(" IF(Account!$F397&lt;&gt;"""", SPLIT(Account!$F397, "" ""), """")"),"")</f>
        <v/>
      </c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</row>
    <row r="398">
      <c r="A398" s="11"/>
      <c r="B398" s="11"/>
      <c r="C398" s="11"/>
      <c r="D398" s="11"/>
      <c r="E398" s="11"/>
      <c r="F398" s="12"/>
      <c r="G398" s="11"/>
      <c r="H398" s="11"/>
      <c r="I398" s="11"/>
      <c r="J398" s="11"/>
      <c r="K398" s="11"/>
      <c r="L398" s="45" t="str">
        <f t="shared" si="1"/>
        <v/>
      </c>
      <c r="M398" s="46" t="str">
        <f>IFERROR(__xludf.DUMMYFUNCTION("IF(Account!$F398&lt;&gt;"""", VALUE(REGEXREPLACE($I398, ""\,"", ""."")), """")"),"")</f>
        <v/>
      </c>
      <c r="N398" s="47" t="str">
        <f>IF(Account!$F398&lt;&gt;"", DATEVALUE(MID($A398,4,3) &amp; LEFT($A398,3) &amp; RIGHT($A398,4)) + TIMEVALUE($B398), "")</f>
        <v/>
      </c>
      <c r="O398" s="48" t="str">
        <f>IF(Account!$F398&lt;&gt;"", DATEVALUE(MID($A398,4,3) &amp; LEFT($A398,3) &amp; RIGHT($A398,4)), "")</f>
        <v/>
      </c>
      <c r="P398" s="49" t="str">
        <f>IFERROR(VLOOKUP($Q398,Selection!$F:$G,2,false))</f>
        <v/>
      </c>
      <c r="Q398" s="50" t="str">
        <f>IF(AND($X398="change",$H398="EUR"),IF(AND($Z398="Crédit",$N398=$N399),$Q399,IF(AND($Z398="Débit",$N398=$N397),$Q397)),IF(OR(AND(OR($E398&lt;&gt;"",$L398=""),$M398&lt;&gt;0),$A398=""),IFERROR(VLOOKUP($E398,Selection!$E:$F,2,false)),IFERROR(VLOOKUP(SUBSTITUTE($I398,"-","",1),$K399:$Q1119,7,false),VLOOKUP($K398,$K399:$Q1119,7,false))))</f>
        <v/>
      </c>
      <c r="R398" s="49" t="str">
        <f t="shared" si="2"/>
        <v/>
      </c>
      <c r="S398" s="51" t="str">
        <f t="shared" si="3"/>
        <v/>
      </c>
      <c r="T398" s="52" t="str">
        <f t="shared" si="4"/>
        <v/>
      </c>
      <c r="U398" s="46" t="str">
        <f t="shared" si="5"/>
        <v/>
      </c>
      <c r="V398" s="53" t="str">
        <f>IFERROR(__xludf.DUMMYFUNCTION(" IF(Account!$F398&lt;&gt;"""", SPLIT(Account!$F398, "" ""), """")"),"")</f>
        <v/>
      </c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</row>
    <row r="399">
      <c r="A399" s="11"/>
      <c r="B399" s="11"/>
      <c r="C399" s="11"/>
      <c r="D399" s="11"/>
      <c r="E399" s="11"/>
      <c r="F399" s="12"/>
      <c r="G399" s="215"/>
      <c r="H399" s="11"/>
      <c r="I399" s="11"/>
      <c r="J399" s="11"/>
      <c r="K399" s="11"/>
      <c r="L399" s="45" t="str">
        <f t="shared" si="1"/>
        <v/>
      </c>
      <c r="M399" s="46" t="str">
        <f>IFERROR(__xludf.DUMMYFUNCTION("IF(Account!$F399&lt;&gt;"""", VALUE(REGEXREPLACE($I399, ""\,"", ""."")), """")"),"")</f>
        <v/>
      </c>
      <c r="N399" s="47" t="str">
        <f>IF(Account!$F399&lt;&gt;"", DATEVALUE(MID($A399,4,3) &amp; LEFT($A399,3) &amp; RIGHT($A399,4)) + TIMEVALUE($B399), "")</f>
        <v/>
      </c>
      <c r="O399" s="48" t="str">
        <f>IF(Account!$F399&lt;&gt;"", DATEVALUE(MID($A399,4,3) &amp; LEFT($A399,3) &amp; RIGHT($A399,4)), "")</f>
        <v/>
      </c>
      <c r="P399" s="49" t="str">
        <f>IFERROR(VLOOKUP($Q399,Selection!$F:$G,2,false))</f>
        <v/>
      </c>
      <c r="Q399" s="50" t="str">
        <f>IF(AND($X399="change",$H399="EUR"),IF(AND($Z399="Crédit",$N399=$N400),$Q400,IF(AND($Z399="Débit",$N399=$N398),$Q398)),IF(OR(AND(OR($E399&lt;&gt;"",$L399=""),$M399&lt;&gt;0),$A399=""),IFERROR(VLOOKUP($E399,Selection!$E:$F,2,false)),IFERROR(VLOOKUP(SUBSTITUTE($I399,"-","",1),$K400:$Q1119,7,false),VLOOKUP($K399,$K400:$Q1119,7,false))))</f>
        <v/>
      </c>
      <c r="R399" s="49" t="str">
        <f t="shared" si="2"/>
        <v/>
      </c>
      <c r="S399" s="51" t="str">
        <f t="shared" si="3"/>
        <v/>
      </c>
      <c r="T399" s="52" t="str">
        <f t="shared" si="4"/>
        <v/>
      </c>
      <c r="U399" s="46" t="str">
        <f t="shared" si="5"/>
        <v/>
      </c>
      <c r="V399" s="53" t="str">
        <f>IFERROR(__xludf.DUMMYFUNCTION(" IF(Account!$F399&lt;&gt;"""", SPLIT(Account!$F399, "" ""), """")"),"")</f>
        <v/>
      </c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</row>
    <row r="400">
      <c r="A400" s="11"/>
      <c r="B400" s="11"/>
      <c r="C400" s="11"/>
      <c r="D400" s="11"/>
      <c r="E400" s="11"/>
      <c r="F400" s="12"/>
      <c r="G400" s="11"/>
      <c r="H400" s="11"/>
      <c r="I400" s="11"/>
      <c r="J400" s="11"/>
      <c r="K400" s="11"/>
      <c r="L400" s="45" t="str">
        <f t="shared" si="1"/>
        <v/>
      </c>
      <c r="M400" s="46" t="str">
        <f>IFERROR(__xludf.DUMMYFUNCTION("IF(Account!$F400&lt;&gt;"""", VALUE(REGEXREPLACE($I400, ""\,"", ""."")), """")"),"")</f>
        <v/>
      </c>
      <c r="N400" s="47" t="str">
        <f>IF(Account!$F400&lt;&gt;"", DATEVALUE(MID($A400,4,3) &amp; LEFT($A400,3) &amp; RIGHT($A400,4)) + TIMEVALUE($B400), "")</f>
        <v/>
      </c>
      <c r="O400" s="48" t="str">
        <f>IF(Account!$F400&lt;&gt;"", DATEVALUE(MID($A400,4,3) &amp; LEFT($A400,3) &amp; RIGHT($A400,4)), "")</f>
        <v/>
      </c>
      <c r="P400" s="49" t="str">
        <f>IFERROR(VLOOKUP($Q400,Selection!$F:$G,2,false))</f>
        <v/>
      </c>
      <c r="Q400" s="50" t="str">
        <f>IF(AND($X400="change",$H400="EUR"),IF(AND($Z400="Crédit",$N400=$N401),$Q401,IF(AND($Z400="Débit",$N400=$N399),$Q399)),IF(OR(AND(OR($E400&lt;&gt;"",$L400=""),$M400&lt;&gt;0),$A400=""),IFERROR(VLOOKUP($E400,Selection!$E:$F,2,false)),IFERROR(VLOOKUP(SUBSTITUTE($I400,"-","",1),$K401:$Q1119,7,false),VLOOKUP($K400,$K401:$Q1119,7,false))))</f>
        <v/>
      </c>
      <c r="R400" s="49" t="str">
        <f t="shared" si="2"/>
        <v/>
      </c>
      <c r="S400" s="51" t="str">
        <f t="shared" si="3"/>
        <v/>
      </c>
      <c r="T400" s="52" t="str">
        <f t="shared" si="4"/>
        <v/>
      </c>
      <c r="U400" s="46" t="str">
        <f t="shared" si="5"/>
        <v/>
      </c>
      <c r="V400" s="53" t="str">
        <f>IFERROR(__xludf.DUMMYFUNCTION(" IF(Account!$F400&lt;&gt;"""", SPLIT(Account!$F400, "" ""), """")"),"")</f>
        <v/>
      </c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</row>
    <row r="401">
      <c r="A401" s="11"/>
      <c r="B401" s="11"/>
      <c r="C401" s="11"/>
      <c r="D401" s="11"/>
      <c r="E401" s="11"/>
      <c r="F401" s="12"/>
      <c r="G401" s="215"/>
      <c r="H401" s="11"/>
      <c r="I401" s="11"/>
      <c r="J401" s="11"/>
      <c r="K401" s="11"/>
      <c r="L401" s="45" t="str">
        <f t="shared" si="1"/>
        <v/>
      </c>
      <c r="M401" s="46" t="str">
        <f>IFERROR(__xludf.DUMMYFUNCTION("IF(Account!$F401&lt;&gt;"""", VALUE(REGEXREPLACE($I401, ""\,"", ""."")), """")"),"")</f>
        <v/>
      </c>
      <c r="N401" s="47" t="str">
        <f>IF(Account!$F401&lt;&gt;"", DATEVALUE(MID($A401,4,3) &amp; LEFT($A401,3) &amp; RIGHT($A401,4)) + TIMEVALUE($B401), "")</f>
        <v/>
      </c>
      <c r="O401" s="48" t="str">
        <f>IF(Account!$F401&lt;&gt;"", DATEVALUE(MID($A401,4,3) &amp; LEFT($A401,3) &amp; RIGHT($A401,4)), "")</f>
        <v/>
      </c>
      <c r="P401" s="49" t="str">
        <f>IFERROR(VLOOKUP($Q401,Selection!$F:$G,2,false))</f>
        <v/>
      </c>
      <c r="Q401" s="50" t="str">
        <f>IF(AND($X401="change",$H401="EUR"),IF(AND($Z401="Crédit",$N401=$N402),$Q402,IF(AND($Z401="Débit",$N401=$N400),$Q400)),IF(OR(AND(OR($E401&lt;&gt;"",$L401=""),$M401&lt;&gt;0),$A401=""),IFERROR(VLOOKUP($E401,Selection!$E:$F,2,false)),IFERROR(VLOOKUP(SUBSTITUTE($I401,"-","",1),$K402:$Q1119,7,false),VLOOKUP($K401,$K402:$Q1119,7,false))))</f>
        <v/>
      </c>
      <c r="R401" s="49" t="str">
        <f t="shared" si="2"/>
        <v/>
      </c>
      <c r="S401" s="51" t="str">
        <f t="shared" si="3"/>
        <v/>
      </c>
      <c r="T401" s="52" t="str">
        <f t="shared" si="4"/>
        <v/>
      </c>
      <c r="U401" s="46" t="str">
        <f t="shared" si="5"/>
        <v/>
      </c>
      <c r="V401" s="53" t="str">
        <f>IFERROR(__xludf.DUMMYFUNCTION(" IF(Account!$F401&lt;&gt;"""", SPLIT(Account!$F401, "" ""), """")"),"")</f>
        <v/>
      </c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</row>
    <row r="402">
      <c r="A402" s="11"/>
      <c r="B402" s="11"/>
      <c r="C402" s="11"/>
      <c r="D402" s="11"/>
      <c r="E402" s="11"/>
      <c r="F402" s="12"/>
      <c r="G402" s="11"/>
      <c r="H402" s="11"/>
      <c r="I402" s="11"/>
      <c r="J402" s="11"/>
      <c r="K402" s="11"/>
      <c r="L402" s="45" t="str">
        <f t="shared" si="1"/>
        <v/>
      </c>
      <c r="M402" s="46" t="str">
        <f>IFERROR(__xludf.DUMMYFUNCTION("IF(Account!$F402&lt;&gt;"""", VALUE(REGEXREPLACE($I402, ""\,"", ""."")), """")"),"")</f>
        <v/>
      </c>
      <c r="N402" s="47" t="str">
        <f>IF(Account!$F402&lt;&gt;"", DATEVALUE(MID($A402,4,3) &amp; LEFT($A402,3) &amp; RIGHT($A402,4)) + TIMEVALUE($B402), "")</f>
        <v/>
      </c>
      <c r="O402" s="48" t="str">
        <f>IF(Account!$F402&lt;&gt;"", DATEVALUE(MID($A402,4,3) &amp; LEFT($A402,3) &amp; RIGHT($A402,4)), "")</f>
        <v/>
      </c>
      <c r="P402" s="49" t="str">
        <f>IFERROR(VLOOKUP($Q402,Selection!$F:$G,2,false))</f>
        <v/>
      </c>
      <c r="Q402" s="50" t="str">
        <f>IF(AND($X402="change",$H402="EUR"),IF(AND($Z402="Crédit",$N402=$N403),$Q403,IF(AND($Z402="Débit",$N402=$N401),$Q401)),IF(OR(AND(OR($E402&lt;&gt;"",$L402=""),$M402&lt;&gt;0),$A402=""),IFERROR(VLOOKUP($E402,Selection!$E:$F,2,false)),IFERROR(VLOOKUP(SUBSTITUTE($I402,"-","",1),$K403:$Q1119,7,false),VLOOKUP($K402,$K403:$Q1119,7,false))))</f>
        <v/>
      </c>
      <c r="R402" s="49" t="str">
        <f t="shared" si="2"/>
        <v/>
      </c>
      <c r="S402" s="51" t="str">
        <f t="shared" si="3"/>
        <v/>
      </c>
      <c r="T402" s="52" t="str">
        <f t="shared" si="4"/>
        <v/>
      </c>
      <c r="U402" s="46" t="str">
        <f t="shared" si="5"/>
        <v/>
      </c>
      <c r="V402" s="53" t="str">
        <f>IFERROR(__xludf.DUMMYFUNCTION(" IF(Account!$F402&lt;&gt;"""", SPLIT(Account!$F402, "" ""), """")"),"")</f>
        <v/>
      </c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</row>
    <row r="403">
      <c r="A403" s="11"/>
      <c r="B403" s="11"/>
      <c r="C403" s="11"/>
      <c r="D403" s="11"/>
      <c r="E403" s="11"/>
      <c r="F403" s="12"/>
      <c r="G403" s="215"/>
      <c r="H403" s="11"/>
      <c r="I403" s="11"/>
      <c r="J403" s="11"/>
      <c r="K403" s="11"/>
      <c r="L403" s="45" t="str">
        <f t="shared" si="1"/>
        <v/>
      </c>
      <c r="M403" s="46" t="str">
        <f>IFERROR(__xludf.DUMMYFUNCTION("IF(Account!$F403&lt;&gt;"""", VALUE(REGEXREPLACE($I403, ""\,"", ""."")), """")"),"")</f>
        <v/>
      </c>
      <c r="N403" s="47" t="str">
        <f>IF(Account!$F403&lt;&gt;"", DATEVALUE(MID($A403,4,3) &amp; LEFT($A403,3) &amp; RIGHT($A403,4)) + TIMEVALUE($B403), "")</f>
        <v/>
      </c>
      <c r="O403" s="48" t="str">
        <f>IF(Account!$F403&lt;&gt;"", DATEVALUE(MID($A403,4,3) &amp; LEFT($A403,3) &amp; RIGHT($A403,4)), "")</f>
        <v/>
      </c>
      <c r="P403" s="49" t="str">
        <f>IFERROR(VLOOKUP($Q403,Selection!$F:$G,2,false))</f>
        <v/>
      </c>
      <c r="Q403" s="50" t="str">
        <f>IF(AND($X403="change",$H403="EUR"),IF(AND($Z403="Crédit",$N403=$N404),$Q404,IF(AND($Z403="Débit",$N403=$N402),$Q402)),IF(OR(AND(OR($E403&lt;&gt;"",$L403=""),$M403&lt;&gt;0),$A403=""),IFERROR(VLOOKUP($E403,Selection!$E:$F,2,false)),IFERROR(VLOOKUP(SUBSTITUTE($I403,"-","",1),$K404:$Q1119,7,false),VLOOKUP($K403,$K404:$Q1119,7,false))))</f>
        <v/>
      </c>
      <c r="R403" s="49" t="str">
        <f t="shared" si="2"/>
        <v/>
      </c>
      <c r="S403" s="51" t="str">
        <f t="shared" si="3"/>
        <v/>
      </c>
      <c r="T403" s="52" t="str">
        <f t="shared" si="4"/>
        <v/>
      </c>
      <c r="U403" s="46" t="str">
        <f t="shared" si="5"/>
        <v/>
      </c>
      <c r="V403" s="53" t="str">
        <f>IFERROR(__xludf.DUMMYFUNCTION(" IF(Account!$F403&lt;&gt;"""", SPLIT(Account!$F403, "" ""), """")"),"")</f>
        <v/>
      </c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</row>
    <row r="404">
      <c r="A404" s="11"/>
      <c r="B404" s="11"/>
      <c r="C404" s="11"/>
      <c r="D404" s="11"/>
      <c r="E404" s="11"/>
      <c r="F404" s="12"/>
      <c r="G404" s="11"/>
      <c r="H404" s="11"/>
      <c r="I404" s="11"/>
      <c r="J404" s="11"/>
      <c r="K404" s="11"/>
      <c r="L404" s="45" t="str">
        <f t="shared" si="1"/>
        <v/>
      </c>
      <c r="M404" s="46" t="str">
        <f>IFERROR(__xludf.DUMMYFUNCTION("IF(Account!$F404&lt;&gt;"""", VALUE(REGEXREPLACE($I404, ""\,"", ""."")), """")"),"")</f>
        <v/>
      </c>
      <c r="N404" s="47" t="str">
        <f>IF(Account!$F404&lt;&gt;"", DATEVALUE(MID($A404,4,3) &amp; LEFT($A404,3) &amp; RIGHT($A404,4)) + TIMEVALUE($B404), "")</f>
        <v/>
      </c>
      <c r="O404" s="48" t="str">
        <f>IF(Account!$F404&lt;&gt;"", DATEVALUE(MID($A404,4,3) &amp; LEFT($A404,3) &amp; RIGHT($A404,4)), "")</f>
        <v/>
      </c>
      <c r="P404" s="49" t="str">
        <f>IFERROR(VLOOKUP($Q404,Selection!$F:$G,2,false))</f>
        <v/>
      </c>
      <c r="Q404" s="50" t="str">
        <f>IF(AND($X404="change",$H404="EUR"),IF(AND($Z404="Crédit",$N404=$N405),$Q405,IF(AND($Z404="Débit",$N404=$N403),$Q403)),IF(OR(AND(OR($E404&lt;&gt;"",$L404=""),$M404&lt;&gt;0),$A404=""),IFERROR(VLOOKUP($E404,Selection!$E:$F,2,false)),IFERROR(VLOOKUP(SUBSTITUTE($I404,"-","",1),$K405:$Q1119,7,false),VLOOKUP($K404,$K405:$Q1119,7,false))))</f>
        <v/>
      </c>
      <c r="R404" s="49" t="str">
        <f t="shared" si="2"/>
        <v/>
      </c>
      <c r="S404" s="51" t="str">
        <f t="shared" si="3"/>
        <v/>
      </c>
      <c r="T404" s="52" t="str">
        <f t="shared" si="4"/>
        <v/>
      </c>
      <c r="U404" s="46" t="str">
        <f t="shared" si="5"/>
        <v/>
      </c>
      <c r="V404" s="53" t="str">
        <f>IFERROR(__xludf.DUMMYFUNCTION(" IF(Account!$F404&lt;&gt;"""", SPLIT(Account!$F404, "" ""), """")"),"")</f>
        <v/>
      </c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</row>
    <row r="405">
      <c r="A405" s="11"/>
      <c r="B405" s="11"/>
      <c r="C405" s="11"/>
      <c r="D405" s="11"/>
      <c r="E405" s="11"/>
      <c r="F405" s="12"/>
      <c r="G405" s="215"/>
      <c r="H405" s="11"/>
      <c r="I405" s="11"/>
      <c r="J405" s="11"/>
      <c r="K405" s="11"/>
      <c r="L405" s="45" t="str">
        <f t="shared" si="1"/>
        <v/>
      </c>
      <c r="M405" s="46" t="str">
        <f>IFERROR(__xludf.DUMMYFUNCTION("IF(Account!$F405&lt;&gt;"""", VALUE(REGEXREPLACE($I405, ""\,"", ""."")), """")"),"")</f>
        <v/>
      </c>
      <c r="N405" s="47" t="str">
        <f>IF(Account!$F405&lt;&gt;"", DATEVALUE(MID($A405,4,3) &amp; LEFT($A405,3) &amp; RIGHT($A405,4)) + TIMEVALUE($B405), "")</f>
        <v/>
      </c>
      <c r="O405" s="48" t="str">
        <f>IF(Account!$F405&lt;&gt;"", DATEVALUE(MID($A405,4,3) &amp; LEFT($A405,3) &amp; RIGHT($A405,4)), "")</f>
        <v/>
      </c>
      <c r="P405" s="49" t="str">
        <f>IFERROR(VLOOKUP($Q405,Selection!$F:$G,2,false))</f>
        <v/>
      </c>
      <c r="Q405" s="50" t="str">
        <f>IF(AND($X405="change",$H405="EUR"),IF(AND($Z405="Crédit",$N405=$N406),$Q406,IF(AND($Z405="Débit",$N405=$N404),$Q404)),IF(OR(AND(OR($E405&lt;&gt;"",$L405=""),$M405&lt;&gt;0),$A405=""),IFERROR(VLOOKUP($E405,Selection!$E:$F,2,false)),IFERROR(VLOOKUP(SUBSTITUTE($I405,"-","",1),$K406:$Q1119,7,false),VLOOKUP($K405,$K406:$Q1119,7,false))))</f>
        <v/>
      </c>
      <c r="R405" s="49" t="str">
        <f t="shared" si="2"/>
        <v/>
      </c>
      <c r="S405" s="51" t="str">
        <f t="shared" si="3"/>
        <v/>
      </c>
      <c r="T405" s="52" t="str">
        <f t="shared" si="4"/>
        <v/>
      </c>
      <c r="U405" s="46" t="str">
        <f t="shared" si="5"/>
        <v/>
      </c>
      <c r="V405" s="53" t="str">
        <f>IFERROR(__xludf.DUMMYFUNCTION(" IF(Account!$F405&lt;&gt;"""", SPLIT(Account!$F405, "" ""), """")"),"")</f>
        <v/>
      </c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</row>
    <row r="406">
      <c r="A406" s="11"/>
      <c r="B406" s="11"/>
      <c r="C406" s="11"/>
      <c r="D406" s="11"/>
      <c r="E406" s="11"/>
      <c r="F406" s="12"/>
      <c r="G406" s="11"/>
      <c r="H406" s="11"/>
      <c r="I406" s="11"/>
      <c r="J406" s="11"/>
      <c r="K406" s="11"/>
      <c r="L406" s="45" t="str">
        <f t="shared" si="1"/>
        <v/>
      </c>
      <c r="M406" s="46" t="str">
        <f>IFERROR(__xludf.DUMMYFUNCTION("IF(Account!$F406&lt;&gt;"""", VALUE(REGEXREPLACE($I406, ""\,"", ""."")), """")"),"")</f>
        <v/>
      </c>
      <c r="N406" s="47" t="str">
        <f>IF(Account!$F406&lt;&gt;"", DATEVALUE(MID($A406,4,3) &amp; LEFT($A406,3) &amp; RIGHT($A406,4)) + TIMEVALUE($B406), "")</f>
        <v/>
      </c>
      <c r="O406" s="48" t="str">
        <f>IF(Account!$F406&lt;&gt;"", DATEVALUE(MID($A406,4,3) &amp; LEFT($A406,3) &amp; RIGHT($A406,4)), "")</f>
        <v/>
      </c>
      <c r="P406" s="49" t="str">
        <f>IFERROR(VLOOKUP($Q406,Selection!$F:$G,2,false))</f>
        <v/>
      </c>
      <c r="Q406" s="50" t="str">
        <f>IF(AND($X406="change",$H406="EUR"),IF(AND($Z406="Crédit",$N406=$N407),$Q407,IF(AND($Z406="Débit",$N406=$N405),$Q405)),IF(OR(AND(OR($E406&lt;&gt;"",$L406=""),$M406&lt;&gt;0),$A406=""),IFERROR(VLOOKUP($E406,Selection!$E:$F,2,false)),IFERROR(VLOOKUP(SUBSTITUTE($I406,"-","",1),$K407:$Q1119,7,false),VLOOKUP($K406,$K407:$Q1119,7,false))))</f>
        <v/>
      </c>
      <c r="R406" s="49" t="str">
        <f t="shared" si="2"/>
        <v/>
      </c>
      <c r="S406" s="51" t="str">
        <f t="shared" si="3"/>
        <v/>
      </c>
      <c r="T406" s="52" t="str">
        <f t="shared" si="4"/>
        <v/>
      </c>
      <c r="U406" s="46" t="str">
        <f t="shared" si="5"/>
        <v/>
      </c>
      <c r="V406" s="53" t="str">
        <f>IFERROR(__xludf.DUMMYFUNCTION(" IF(Account!$F406&lt;&gt;"""", SPLIT(Account!$F406, "" ""), """")"),"")</f>
        <v/>
      </c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</row>
    <row r="407">
      <c r="A407" s="11"/>
      <c r="B407" s="11"/>
      <c r="C407" s="11"/>
      <c r="D407" s="11"/>
      <c r="E407" s="11"/>
      <c r="F407" s="12"/>
      <c r="G407" s="215"/>
      <c r="H407" s="11"/>
      <c r="I407" s="11"/>
      <c r="J407" s="11"/>
      <c r="K407" s="11"/>
      <c r="L407" s="45" t="str">
        <f t="shared" si="1"/>
        <v/>
      </c>
      <c r="M407" s="46" t="str">
        <f>IFERROR(__xludf.DUMMYFUNCTION("IF(Account!$F407&lt;&gt;"""", VALUE(REGEXREPLACE($I407, ""\,"", ""."")), """")"),"")</f>
        <v/>
      </c>
      <c r="N407" s="47" t="str">
        <f>IF(Account!$F407&lt;&gt;"", DATEVALUE(MID($A407,4,3) &amp; LEFT($A407,3) &amp; RIGHT($A407,4)) + TIMEVALUE($B407), "")</f>
        <v/>
      </c>
      <c r="O407" s="48" t="str">
        <f>IF(Account!$F407&lt;&gt;"", DATEVALUE(MID($A407,4,3) &amp; LEFT($A407,3) &amp; RIGHT($A407,4)), "")</f>
        <v/>
      </c>
      <c r="P407" s="49" t="str">
        <f>IFERROR(VLOOKUP($Q407,Selection!$F:$G,2,false))</f>
        <v/>
      </c>
      <c r="Q407" s="50" t="str">
        <f>IF(AND($X407="change",$H407="EUR"),IF(AND($Z407="Crédit",$N407=$N408),$Q408,IF(AND($Z407="Débit",$N407=$N406),$Q406)),IF(OR(AND(OR($E407&lt;&gt;"",$L407=""),$M407&lt;&gt;0),$A407=""),IFERROR(VLOOKUP($E407,Selection!$E:$F,2,false)),IFERROR(VLOOKUP(SUBSTITUTE($I407,"-","",1),$K408:$Q1119,7,false),VLOOKUP($K407,$K408:$Q1119,7,false))))</f>
        <v/>
      </c>
      <c r="R407" s="49" t="str">
        <f t="shared" si="2"/>
        <v/>
      </c>
      <c r="S407" s="51" t="str">
        <f t="shared" si="3"/>
        <v/>
      </c>
      <c r="T407" s="52" t="str">
        <f t="shared" si="4"/>
        <v/>
      </c>
      <c r="U407" s="46" t="str">
        <f t="shared" si="5"/>
        <v/>
      </c>
      <c r="V407" s="53" t="str">
        <f>IFERROR(__xludf.DUMMYFUNCTION(" IF(Account!$F407&lt;&gt;"""", SPLIT(Account!$F407, "" ""), """")"),"")</f>
        <v/>
      </c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</row>
    <row r="408">
      <c r="A408" s="11"/>
      <c r="B408" s="11"/>
      <c r="C408" s="11"/>
      <c r="D408" s="11"/>
      <c r="E408" s="11"/>
      <c r="F408" s="12"/>
      <c r="G408" s="11"/>
      <c r="H408" s="11"/>
      <c r="I408" s="11"/>
      <c r="J408" s="11"/>
      <c r="K408" s="11"/>
      <c r="L408" s="45" t="str">
        <f t="shared" si="1"/>
        <v/>
      </c>
      <c r="M408" s="46" t="str">
        <f>IFERROR(__xludf.DUMMYFUNCTION("IF(Account!$F408&lt;&gt;"""", VALUE(REGEXREPLACE($I408, ""\,"", ""."")), """")"),"")</f>
        <v/>
      </c>
      <c r="N408" s="47" t="str">
        <f>IF(Account!$F408&lt;&gt;"", DATEVALUE(MID($A408,4,3) &amp; LEFT($A408,3) &amp; RIGHT($A408,4)) + TIMEVALUE($B408), "")</f>
        <v/>
      </c>
      <c r="O408" s="48" t="str">
        <f>IF(Account!$F408&lt;&gt;"", DATEVALUE(MID($A408,4,3) &amp; LEFT($A408,3) &amp; RIGHT($A408,4)), "")</f>
        <v/>
      </c>
      <c r="P408" s="49" t="str">
        <f>IFERROR(VLOOKUP($Q408,Selection!$F:$G,2,false))</f>
        <v/>
      </c>
      <c r="Q408" s="50" t="str">
        <f>IF(AND($X408="change",$H408="EUR"),IF(AND($Z408="Crédit",$N408=$N409),$Q409,IF(AND($Z408="Débit",$N408=$N407),$Q407)),IF(OR(AND(OR($E408&lt;&gt;"",$L408=""),$M408&lt;&gt;0),$A408=""),IFERROR(VLOOKUP($E408,Selection!$E:$F,2,false)),IFERROR(VLOOKUP(SUBSTITUTE($I408,"-","",1),$K409:$Q1119,7,false),VLOOKUP($K408,$K409:$Q1119,7,false))))</f>
        <v/>
      </c>
      <c r="R408" s="49" t="str">
        <f t="shared" si="2"/>
        <v/>
      </c>
      <c r="S408" s="51" t="str">
        <f t="shared" si="3"/>
        <v/>
      </c>
      <c r="T408" s="52" t="str">
        <f t="shared" si="4"/>
        <v/>
      </c>
      <c r="U408" s="46" t="str">
        <f t="shared" si="5"/>
        <v/>
      </c>
      <c r="V408" s="53" t="str">
        <f>IFERROR(__xludf.DUMMYFUNCTION(" IF(Account!$F408&lt;&gt;"""", SPLIT(Account!$F408, "" ""), """")"),"")</f>
        <v/>
      </c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</row>
    <row r="409">
      <c r="A409" s="11"/>
      <c r="B409" s="11"/>
      <c r="C409" s="11"/>
      <c r="D409" s="11"/>
      <c r="E409" s="11"/>
      <c r="F409" s="12"/>
      <c r="G409" s="215"/>
      <c r="H409" s="11"/>
      <c r="I409" s="11"/>
      <c r="J409" s="11"/>
      <c r="K409" s="11"/>
      <c r="L409" s="45" t="str">
        <f t="shared" si="1"/>
        <v/>
      </c>
      <c r="M409" s="46" t="str">
        <f>IFERROR(__xludf.DUMMYFUNCTION("IF(Account!$F409&lt;&gt;"""", VALUE(REGEXREPLACE($I409, ""\,"", ""."")), """")"),"")</f>
        <v/>
      </c>
      <c r="N409" s="47" t="str">
        <f>IF(Account!$F409&lt;&gt;"", DATEVALUE(MID($A409,4,3) &amp; LEFT($A409,3) &amp; RIGHT($A409,4)) + TIMEVALUE($B409), "")</f>
        <v/>
      </c>
      <c r="O409" s="48" t="str">
        <f>IF(Account!$F409&lt;&gt;"", DATEVALUE(MID($A409,4,3) &amp; LEFT($A409,3) &amp; RIGHT($A409,4)), "")</f>
        <v/>
      </c>
      <c r="P409" s="49" t="str">
        <f>IFERROR(VLOOKUP($Q409,Selection!$F:$G,2,false))</f>
        <v/>
      </c>
      <c r="Q409" s="50" t="str">
        <f>IF(AND($X409="change",$H409="EUR"),IF(AND($Z409="Crédit",$N409=$N410),$Q410,IF(AND($Z409="Débit",$N409=$N408),$Q408)),IF(OR(AND(OR($E409&lt;&gt;"",$L409=""),$M409&lt;&gt;0),$A409=""),IFERROR(VLOOKUP($E409,Selection!$E:$F,2,false)),IFERROR(VLOOKUP(SUBSTITUTE($I409,"-","",1),$K410:$Q1119,7,false),VLOOKUP($K409,$K410:$Q1119,7,false))))</f>
        <v/>
      </c>
      <c r="R409" s="49" t="str">
        <f t="shared" si="2"/>
        <v/>
      </c>
      <c r="S409" s="51" t="str">
        <f t="shared" si="3"/>
        <v/>
      </c>
      <c r="T409" s="52" t="str">
        <f t="shared" si="4"/>
        <v/>
      </c>
      <c r="U409" s="46" t="str">
        <f t="shared" si="5"/>
        <v/>
      </c>
      <c r="V409" s="53" t="str">
        <f>IFERROR(__xludf.DUMMYFUNCTION(" IF(Account!$F409&lt;&gt;"""", SPLIT(Account!$F409, "" ""), """")"),"")</f>
        <v/>
      </c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</row>
    <row r="410">
      <c r="A410" s="11"/>
      <c r="B410" s="11"/>
      <c r="C410" s="11"/>
      <c r="D410" s="11"/>
      <c r="E410" s="11"/>
      <c r="F410" s="12"/>
      <c r="G410" s="11"/>
      <c r="H410" s="11"/>
      <c r="I410" s="11"/>
      <c r="J410" s="11"/>
      <c r="K410" s="11"/>
      <c r="L410" s="45" t="str">
        <f t="shared" si="1"/>
        <v/>
      </c>
      <c r="M410" s="46" t="str">
        <f>IFERROR(__xludf.DUMMYFUNCTION("IF(Account!$F410&lt;&gt;"""", VALUE(REGEXREPLACE($I410, ""\,"", ""."")), """")"),"")</f>
        <v/>
      </c>
      <c r="N410" s="47" t="str">
        <f>IF(Account!$F410&lt;&gt;"", DATEVALUE(MID($A410,4,3) &amp; LEFT($A410,3) &amp; RIGHT($A410,4)) + TIMEVALUE($B410), "")</f>
        <v/>
      </c>
      <c r="O410" s="48" t="str">
        <f>IF(Account!$F410&lt;&gt;"", DATEVALUE(MID($A410,4,3) &amp; LEFT($A410,3) &amp; RIGHT($A410,4)), "")</f>
        <v/>
      </c>
      <c r="P410" s="49" t="str">
        <f>IFERROR(VLOOKUP($Q410,Selection!$F:$G,2,false))</f>
        <v/>
      </c>
      <c r="Q410" s="50" t="str">
        <f>IF(AND($X410="change",$H410="EUR"),IF(AND($Z410="Crédit",$N410=$N411),$Q411,IF(AND($Z410="Débit",$N410=$N409),$Q409)),IF(OR(AND(OR($E410&lt;&gt;"",$L410=""),$M410&lt;&gt;0),$A410=""),IFERROR(VLOOKUP($E410,Selection!$E:$F,2,false)),IFERROR(VLOOKUP(SUBSTITUTE($I410,"-","",1),$K411:$Q1119,7,false),VLOOKUP($K410,$K411:$Q1119,7,false))))</f>
        <v/>
      </c>
      <c r="R410" s="49" t="str">
        <f t="shared" si="2"/>
        <v/>
      </c>
      <c r="S410" s="51" t="str">
        <f t="shared" si="3"/>
        <v/>
      </c>
      <c r="T410" s="52" t="str">
        <f t="shared" si="4"/>
        <v/>
      </c>
      <c r="U410" s="46" t="str">
        <f t="shared" si="5"/>
        <v/>
      </c>
      <c r="V410" s="53" t="str">
        <f>IFERROR(__xludf.DUMMYFUNCTION(" IF(Account!$F410&lt;&gt;"""", SPLIT(Account!$F410, "" ""), """")"),"")</f>
        <v/>
      </c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</row>
    <row r="411">
      <c r="A411" s="11"/>
      <c r="B411" s="11"/>
      <c r="C411" s="11"/>
      <c r="D411" s="11"/>
      <c r="E411" s="11"/>
      <c r="F411" s="12"/>
      <c r="G411" s="215"/>
      <c r="H411" s="11"/>
      <c r="I411" s="11"/>
      <c r="J411" s="11"/>
      <c r="K411" s="11"/>
      <c r="L411" s="45" t="str">
        <f t="shared" si="1"/>
        <v/>
      </c>
      <c r="M411" s="46" t="str">
        <f>IFERROR(__xludf.DUMMYFUNCTION("IF(Account!$F411&lt;&gt;"""", VALUE(REGEXREPLACE($I411, ""\,"", ""."")), """")"),"")</f>
        <v/>
      </c>
      <c r="N411" s="47" t="str">
        <f>IF(Account!$F411&lt;&gt;"", DATEVALUE(MID($A411,4,3) &amp; LEFT($A411,3) &amp; RIGHT($A411,4)) + TIMEVALUE($B411), "")</f>
        <v/>
      </c>
      <c r="O411" s="48" t="str">
        <f>IF(Account!$F411&lt;&gt;"", DATEVALUE(MID($A411,4,3) &amp; LEFT($A411,3) &amp; RIGHT($A411,4)), "")</f>
        <v/>
      </c>
      <c r="P411" s="49" t="str">
        <f>IFERROR(VLOOKUP($Q411,Selection!$F:$G,2,false))</f>
        <v/>
      </c>
      <c r="Q411" s="50" t="str">
        <f>IF(AND($X411="change",$H411="EUR"),IF(AND($Z411="Crédit",$N411=$N412),$Q412,IF(AND($Z411="Débit",$N411=$N410),$Q410)),IF(OR(AND(OR($E411&lt;&gt;"",$L411=""),$M411&lt;&gt;0),$A411=""),IFERROR(VLOOKUP($E411,Selection!$E:$F,2,false)),IFERROR(VLOOKUP(SUBSTITUTE($I411,"-","",1),$K412:$Q1119,7,false),VLOOKUP($K411,$K412:$Q1119,7,false))))</f>
        <v/>
      </c>
      <c r="R411" s="49" t="str">
        <f t="shared" si="2"/>
        <v/>
      </c>
      <c r="S411" s="51" t="str">
        <f t="shared" si="3"/>
        <v/>
      </c>
      <c r="T411" s="52" t="str">
        <f t="shared" si="4"/>
        <v/>
      </c>
      <c r="U411" s="46" t="str">
        <f t="shared" si="5"/>
        <v/>
      </c>
      <c r="V411" s="53" t="str">
        <f>IFERROR(__xludf.DUMMYFUNCTION(" IF(Account!$F411&lt;&gt;"""", SPLIT(Account!$F411, "" ""), """")"),"")</f>
        <v/>
      </c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</row>
    <row r="412">
      <c r="A412" s="11"/>
      <c r="B412" s="11"/>
      <c r="C412" s="11"/>
      <c r="D412" s="11"/>
      <c r="E412" s="11"/>
      <c r="F412" s="12"/>
      <c r="G412" s="215"/>
      <c r="H412" s="11"/>
      <c r="I412" s="11"/>
      <c r="J412" s="11"/>
      <c r="K412" s="11"/>
      <c r="L412" s="45" t="str">
        <f t="shared" si="1"/>
        <v/>
      </c>
      <c r="M412" s="46" t="str">
        <f>IFERROR(__xludf.DUMMYFUNCTION("IF(Account!$F412&lt;&gt;"""", VALUE(REGEXREPLACE($I412, ""\,"", ""."")), """")"),"")</f>
        <v/>
      </c>
      <c r="N412" s="47" t="str">
        <f>IF(Account!$F412&lt;&gt;"", DATEVALUE(MID($A412,4,3) &amp; LEFT($A412,3) &amp; RIGHT($A412,4)) + TIMEVALUE($B412), "")</f>
        <v/>
      </c>
      <c r="O412" s="48" t="str">
        <f>IF(Account!$F412&lt;&gt;"", DATEVALUE(MID($A412,4,3) &amp; LEFT($A412,3) &amp; RIGHT($A412,4)), "")</f>
        <v/>
      </c>
      <c r="P412" s="49" t="str">
        <f>IFERROR(VLOOKUP($Q412,Selection!$F:$G,2,false))</f>
        <v/>
      </c>
      <c r="Q412" s="50" t="str">
        <f>IF(AND($X412="change",$H412="EUR"),IF(AND($Z412="Crédit",$N412=$N413),$Q413,IF(AND($Z412="Débit",$N412=$N411),$Q411)),IF(OR(AND(OR($E412&lt;&gt;"",$L412=""),$M412&lt;&gt;0),$A412=""),IFERROR(VLOOKUP($E412,Selection!$E:$F,2,false)),IFERROR(VLOOKUP(SUBSTITUTE($I412,"-","",1),$K413:$Q1119,7,false),VLOOKUP($K412,$K413:$Q1119,7,false))))</f>
        <v/>
      </c>
      <c r="R412" s="49" t="str">
        <f t="shared" si="2"/>
        <v/>
      </c>
      <c r="S412" s="51" t="str">
        <f t="shared" si="3"/>
        <v/>
      </c>
      <c r="T412" s="52" t="str">
        <f t="shared" si="4"/>
        <v/>
      </c>
      <c r="U412" s="46" t="str">
        <f t="shared" si="5"/>
        <v/>
      </c>
      <c r="V412" s="53" t="str">
        <f>IFERROR(__xludf.DUMMYFUNCTION(" IF(Account!$F412&lt;&gt;"""", SPLIT(Account!$F412, "" ""), """")"),"")</f>
        <v/>
      </c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</row>
    <row r="413">
      <c r="A413" s="11"/>
      <c r="B413" s="11"/>
      <c r="C413" s="11"/>
      <c r="D413" s="11"/>
      <c r="E413" s="11"/>
      <c r="F413" s="12"/>
      <c r="G413" s="215"/>
      <c r="H413" s="11"/>
      <c r="I413" s="11"/>
      <c r="J413" s="11"/>
      <c r="K413" s="11"/>
      <c r="L413" s="45" t="str">
        <f t="shared" si="1"/>
        <v/>
      </c>
      <c r="M413" s="46" t="str">
        <f>IFERROR(__xludf.DUMMYFUNCTION("IF(Account!$F413&lt;&gt;"""", VALUE(REGEXREPLACE($I413, ""\,"", ""."")), """")"),"")</f>
        <v/>
      </c>
      <c r="N413" s="47" t="str">
        <f>IF(Account!$F413&lt;&gt;"", DATEVALUE(MID($A413,4,3) &amp; LEFT($A413,3) &amp; RIGHT($A413,4)) + TIMEVALUE($B413), "")</f>
        <v/>
      </c>
      <c r="O413" s="48" t="str">
        <f>IF(Account!$F413&lt;&gt;"", DATEVALUE(MID($A413,4,3) &amp; LEFT($A413,3) &amp; RIGHT($A413,4)), "")</f>
        <v/>
      </c>
      <c r="P413" s="49" t="str">
        <f>IFERROR(VLOOKUP($Q413,Selection!$F:$G,2,false))</f>
        <v/>
      </c>
      <c r="Q413" s="50" t="str">
        <f>IF(AND($X413="change",$H413="EUR"),IF(AND($Z413="Crédit",$N413=$N414),$Q414,IF(AND($Z413="Débit",$N413=$N412),$Q412)),IF(OR(AND(OR($E413&lt;&gt;"",$L413=""),$M413&lt;&gt;0),$A413=""),IFERROR(VLOOKUP($E413,Selection!$E:$F,2,false)),IFERROR(VLOOKUP(SUBSTITUTE($I413,"-","",1),$K414:$Q1119,7,false),VLOOKUP($K413,$K414:$Q1119,7,false))))</f>
        <v/>
      </c>
      <c r="R413" s="49" t="str">
        <f t="shared" si="2"/>
        <v/>
      </c>
      <c r="S413" s="51" t="str">
        <f t="shared" si="3"/>
        <v/>
      </c>
      <c r="T413" s="52" t="str">
        <f t="shared" si="4"/>
        <v/>
      </c>
      <c r="U413" s="46" t="str">
        <f t="shared" si="5"/>
        <v/>
      </c>
      <c r="V413" s="53" t="str">
        <f>IFERROR(__xludf.DUMMYFUNCTION(" IF(Account!$F413&lt;&gt;"""", SPLIT(Account!$F413, "" ""), """")"),"")</f>
        <v/>
      </c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</row>
    <row r="414">
      <c r="A414" s="11"/>
      <c r="B414" s="11"/>
      <c r="C414" s="11"/>
      <c r="D414" s="11"/>
      <c r="E414" s="11"/>
      <c r="F414" s="12"/>
      <c r="G414" s="215"/>
      <c r="H414" s="11"/>
      <c r="I414" s="11"/>
      <c r="J414" s="11"/>
      <c r="K414" s="11"/>
      <c r="L414" s="45" t="str">
        <f t="shared" si="1"/>
        <v/>
      </c>
      <c r="M414" s="46" t="str">
        <f>IFERROR(__xludf.DUMMYFUNCTION("IF(Account!$F414&lt;&gt;"""", VALUE(REGEXREPLACE($I414, ""\,"", ""."")), """")"),"")</f>
        <v/>
      </c>
      <c r="N414" s="47" t="str">
        <f>IF(Account!$F414&lt;&gt;"", DATEVALUE(MID($A414,4,3) &amp; LEFT($A414,3) &amp; RIGHT($A414,4)) + TIMEVALUE($B414), "")</f>
        <v/>
      </c>
      <c r="O414" s="48" t="str">
        <f>IF(Account!$F414&lt;&gt;"", DATEVALUE(MID($A414,4,3) &amp; LEFT($A414,3) &amp; RIGHT($A414,4)), "")</f>
        <v/>
      </c>
      <c r="P414" s="49" t="str">
        <f>IFERROR(VLOOKUP($Q414,Selection!$F:$G,2,false))</f>
        <v/>
      </c>
      <c r="Q414" s="50" t="str">
        <f>IF(AND($X414="change",$H414="EUR"),IF(AND($Z414="Crédit",$N414=$N415),$Q415,IF(AND($Z414="Débit",$N414=$N413),$Q413)),IF(OR(AND(OR($E414&lt;&gt;"",$L414=""),$M414&lt;&gt;0),$A414=""),IFERROR(VLOOKUP($E414,Selection!$E:$F,2,false)),IFERROR(VLOOKUP(SUBSTITUTE($I414,"-","",1),$K415:$Q1119,7,false),VLOOKUP($K414,$K415:$Q1119,7,false))))</f>
        <v/>
      </c>
      <c r="R414" s="49" t="str">
        <f t="shared" si="2"/>
        <v/>
      </c>
      <c r="S414" s="51" t="str">
        <f t="shared" si="3"/>
        <v/>
      </c>
      <c r="T414" s="52" t="str">
        <f t="shared" si="4"/>
        <v/>
      </c>
      <c r="U414" s="46" t="str">
        <f t="shared" si="5"/>
        <v/>
      </c>
      <c r="V414" s="53" t="str">
        <f>IFERROR(__xludf.DUMMYFUNCTION(" IF(Account!$F414&lt;&gt;"""", SPLIT(Account!$F414, "" ""), """")"),"")</f>
        <v/>
      </c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</row>
    <row r="415">
      <c r="A415" s="11"/>
      <c r="B415" s="11"/>
      <c r="C415" s="11"/>
      <c r="D415" s="11"/>
      <c r="E415" s="11"/>
      <c r="F415" s="12"/>
      <c r="G415" s="215"/>
      <c r="H415" s="11"/>
      <c r="I415" s="11"/>
      <c r="J415" s="11"/>
      <c r="K415" s="11"/>
      <c r="L415" s="45" t="str">
        <f t="shared" si="1"/>
        <v/>
      </c>
      <c r="M415" s="46" t="str">
        <f>IFERROR(__xludf.DUMMYFUNCTION("IF(Account!$F415&lt;&gt;"""", VALUE(REGEXREPLACE($I415, ""\,"", ""."")), """")"),"")</f>
        <v/>
      </c>
      <c r="N415" s="47" t="str">
        <f>IF(Account!$F415&lt;&gt;"", DATEVALUE(MID($A415,4,3) &amp; LEFT($A415,3) &amp; RIGHT($A415,4)) + TIMEVALUE($B415), "")</f>
        <v/>
      </c>
      <c r="O415" s="48" t="str">
        <f>IF(Account!$F415&lt;&gt;"", DATEVALUE(MID($A415,4,3) &amp; LEFT($A415,3) &amp; RIGHT($A415,4)), "")</f>
        <v/>
      </c>
      <c r="P415" s="49" t="str">
        <f>IFERROR(VLOOKUP($Q415,Selection!$F:$G,2,false))</f>
        <v/>
      </c>
      <c r="Q415" s="50" t="str">
        <f>IF(AND($X415="change",$H415="EUR"),IF(AND($Z415="Crédit",$N415=$N416),$Q416,IF(AND($Z415="Débit",$N415=$N414),$Q414)),IF(OR(AND(OR($E415&lt;&gt;"",$L415=""),$M415&lt;&gt;0),$A415=""),IFERROR(VLOOKUP($E415,Selection!$E:$F,2,false)),IFERROR(VLOOKUP(SUBSTITUTE($I415,"-","",1),$K416:$Q1119,7,false),VLOOKUP($K415,$K416:$Q1119,7,false))))</f>
        <v/>
      </c>
      <c r="R415" s="49" t="str">
        <f t="shared" si="2"/>
        <v/>
      </c>
      <c r="S415" s="51" t="str">
        <f t="shared" si="3"/>
        <v/>
      </c>
      <c r="T415" s="52" t="str">
        <f t="shared" si="4"/>
        <v/>
      </c>
      <c r="U415" s="46" t="str">
        <f t="shared" si="5"/>
        <v/>
      </c>
      <c r="V415" s="53" t="str">
        <f>IFERROR(__xludf.DUMMYFUNCTION(" IF(Account!$F415&lt;&gt;"""", SPLIT(Account!$F415, "" ""), """")"),"")</f>
        <v/>
      </c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</row>
    <row r="416">
      <c r="A416" s="11"/>
      <c r="B416" s="11"/>
      <c r="C416" s="11"/>
      <c r="D416" s="11"/>
      <c r="E416" s="11"/>
      <c r="F416" s="12"/>
      <c r="G416" s="215"/>
      <c r="H416" s="11"/>
      <c r="I416" s="11"/>
      <c r="J416" s="11"/>
      <c r="K416" s="11"/>
      <c r="L416" s="45" t="str">
        <f t="shared" si="1"/>
        <v/>
      </c>
      <c r="M416" s="46" t="str">
        <f>IFERROR(__xludf.DUMMYFUNCTION("IF(Account!$F416&lt;&gt;"""", VALUE(REGEXREPLACE($I416, ""\,"", ""."")), """")"),"")</f>
        <v/>
      </c>
      <c r="N416" s="47" t="str">
        <f>IF(Account!$F416&lt;&gt;"", DATEVALUE(MID($A416,4,3) &amp; LEFT($A416,3) &amp; RIGHT($A416,4)) + TIMEVALUE($B416), "")</f>
        <v/>
      </c>
      <c r="O416" s="48" t="str">
        <f>IF(Account!$F416&lt;&gt;"", DATEVALUE(MID($A416,4,3) &amp; LEFT($A416,3) &amp; RIGHT($A416,4)), "")</f>
        <v/>
      </c>
      <c r="P416" s="49" t="str">
        <f>IFERROR(VLOOKUP($Q416,Selection!$F:$G,2,false))</f>
        <v/>
      </c>
      <c r="Q416" s="50" t="str">
        <f>IF(AND($X416="change",$H416="EUR"),IF(AND($Z416="Crédit",$N416=$N417),$Q417,IF(AND($Z416="Débit",$N416=$N415),$Q415)),IF(OR(AND(OR($E416&lt;&gt;"",$L416=""),$M416&lt;&gt;0),$A416=""),IFERROR(VLOOKUP($E416,Selection!$E:$F,2,false)),IFERROR(VLOOKUP(SUBSTITUTE($I416,"-","",1),$K417:$Q1119,7,false),VLOOKUP($K416,$K417:$Q1119,7,false))))</f>
        <v/>
      </c>
      <c r="R416" s="49" t="str">
        <f t="shared" si="2"/>
        <v/>
      </c>
      <c r="S416" s="51" t="str">
        <f t="shared" si="3"/>
        <v/>
      </c>
      <c r="T416" s="52" t="str">
        <f t="shared" si="4"/>
        <v/>
      </c>
      <c r="U416" s="46" t="str">
        <f t="shared" si="5"/>
        <v/>
      </c>
      <c r="V416" s="53" t="str">
        <f>IFERROR(__xludf.DUMMYFUNCTION(" IF(Account!$F416&lt;&gt;"""", SPLIT(Account!$F416, "" ""), """")"),"")</f>
        <v/>
      </c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</row>
    <row r="417">
      <c r="A417" s="11"/>
      <c r="B417" s="11"/>
      <c r="C417" s="11"/>
      <c r="D417" s="11"/>
      <c r="E417" s="11"/>
      <c r="F417" s="12"/>
      <c r="G417" s="215"/>
      <c r="H417" s="11"/>
      <c r="I417" s="11"/>
      <c r="J417" s="11"/>
      <c r="K417" s="11"/>
      <c r="L417" s="45" t="str">
        <f t="shared" si="1"/>
        <v/>
      </c>
      <c r="M417" s="46" t="str">
        <f>IFERROR(__xludf.DUMMYFUNCTION("IF(Account!$F417&lt;&gt;"""", VALUE(REGEXREPLACE($I417, ""\,"", ""."")), """")"),"")</f>
        <v/>
      </c>
      <c r="N417" s="47" t="str">
        <f>IF(Account!$F417&lt;&gt;"", DATEVALUE(MID($A417,4,3) &amp; LEFT($A417,3) &amp; RIGHT($A417,4)) + TIMEVALUE($B417), "")</f>
        <v/>
      </c>
      <c r="O417" s="48" t="str">
        <f>IF(Account!$F417&lt;&gt;"", DATEVALUE(MID($A417,4,3) &amp; LEFT($A417,3) &amp; RIGHT($A417,4)), "")</f>
        <v/>
      </c>
      <c r="P417" s="49" t="str">
        <f>IFERROR(VLOOKUP($Q417,Selection!$F:$G,2,false))</f>
        <v/>
      </c>
      <c r="Q417" s="50" t="str">
        <f>IF(AND($X417="change",$H417="EUR"),IF(AND($Z417="Crédit",$N417=$N418),$Q418,IF(AND($Z417="Débit",$N417=$N416),$Q416)),IF(OR(AND(OR($E417&lt;&gt;"",$L417=""),$M417&lt;&gt;0),$A417=""),IFERROR(VLOOKUP($E417,Selection!$E:$F,2,false)),IFERROR(VLOOKUP(SUBSTITUTE($I417,"-","",1),$K418:$Q1119,7,false),VLOOKUP($K417,$K418:$Q1119,7,false))))</f>
        <v/>
      </c>
      <c r="R417" s="49" t="str">
        <f t="shared" si="2"/>
        <v/>
      </c>
      <c r="S417" s="51" t="str">
        <f t="shared" si="3"/>
        <v/>
      </c>
      <c r="T417" s="52" t="str">
        <f t="shared" si="4"/>
        <v/>
      </c>
      <c r="U417" s="46" t="str">
        <f t="shared" si="5"/>
        <v/>
      </c>
      <c r="V417" s="53" t="str">
        <f>IFERROR(__xludf.DUMMYFUNCTION(" IF(Account!$F417&lt;&gt;"""", SPLIT(Account!$F417, "" ""), """")"),"")</f>
        <v/>
      </c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</row>
    <row r="418">
      <c r="A418" s="11"/>
      <c r="B418" s="11"/>
      <c r="C418" s="11"/>
      <c r="D418" s="11"/>
      <c r="E418" s="11"/>
      <c r="F418" s="12"/>
      <c r="G418" s="215"/>
      <c r="H418" s="11"/>
      <c r="I418" s="11"/>
      <c r="J418" s="11"/>
      <c r="K418" s="11"/>
      <c r="L418" s="45" t="str">
        <f t="shared" si="1"/>
        <v/>
      </c>
      <c r="M418" s="46" t="str">
        <f>IFERROR(__xludf.DUMMYFUNCTION("IF(Account!$F418&lt;&gt;"""", VALUE(REGEXREPLACE($I418, ""\,"", ""."")), """")"),"")</f>
        <v/>
      </c>
      <c r="N418" s="47" t="str">
        <f>IF(Account!$F418&lt;&gt;"", DATEVALUE(MID($A418,4,3) &amp; LEFT($A418,3) &amp; RIGHT($A418,4)) + TIMEVALUE($B418), "")</f>
        <v/>
      </c>
      <c r="O418" s="48" t="str">
        <f>IF(Account!$F418&lt;&gt;"", DATEVALUE(MID($A418,4,3) &amp; LEFT($A418,3) &amp; RIGHT($A418,4)), "")</f>
        <v/>
      </c>
      <c r="P418" s="49" t="str">
        <f>IFERROR(VLOOKUP($Q418,Selection!$F:$G,2,false))</f>
        <v/>
      </c>
      <c r="Q418" s="50" t="str">
        <f>IF(AND($X418="change",$H418="EUR"),IF(AND($Z418="Crédit",$N418=$N419),$Q419,IF(AND($Z418="Débit",$N418=$N417),$Q417)),IF(OR(AND(OR($E418&lt;&gt;"",$L418=""),$M418&lt;&gt;0),$A418=""),IFERROR(VLOOKUP($E418,Selection!$E:$F,2,false)),IFERROR(VLOOKUP(SUBSTITUTE($I418,"-","",1),$K419:$Q1119,7,false),VLOOKUP($K418,$K419:$Q1119,7,false))))</f>
        <v/>
      </c>
      <c r="R418" s="49" t="str">
        <f t="shared" si="2"/>
        <v/>
      </c>
      <c r="S418" s="51" t="str">
        <f t="shared" si="3"/>
        <v/>
      </c>
      <c r="T418" s="52" t="str">
        <f t="shared" si="4"/>
        <v/>
      </c>
      <c r="U418" s="46" t="str">
        <f t="shared" si="5"/>
        <v/>
      </c>
      <c r="V418" s="53" t="str">
        <f>IFERROR(__xludf.DUMMYFUNCTION(" IF(Account!$F418&lt;&gt;"""", SPLIT(Account!$F418, "" ""), """")"),"")</f>
        <v/>
      </c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</row>
    <row r="419">
      <c r="A419" s="11"/>
      <c r="B419" s="11"/>
      <c r="C419" s="11"/>
      <c r="D419" s="11"/>
      <c r="E419" s="11"/>
      <c r="F419" s="12"/>
      <c r="G419" s="215"/>
      <c r="H419" s="11"/>
      <c r="I419" s="11"/>
      <c r="J419" s="11"/>
      <c r="K419" s="11"/>
      <c r="L419" s="45" t="str">
        <f t="shared" si="1"/>
        <v/>
      </c>
      <c r="M419" s="46" t="str">
        <f>IFERROR(__xludf.DUMMYFUNCTION("IF(Account!$F419&lt;&gt;"""", VALUE(REGEXREPLACE($I419, ""\,"", ""."")), """")"),"")</f>
        <v/>
      </c>
      <c r="N419" s="47" t="str">
        <f>IF(Account!$F419&lt;&gt;"", DATEVALUE(MID($A419,4,3) &amp; LEFT($A419,3) &amp; RIGHT($A419,4)) + TIMEVALUE($B419), "")</f>
        <v/>
      </c>
      <c r="O419" s="48" t="str">
        <f>IF(Account!$F419&lt;&gt;"", DATEVALUE(MID($A419,4,3) &amp; LEFT($A419,3) &amp; RIGHT($A419,4)), "")</f>
        <v/>
      </c>
      <c r="P419" s="49" t="str">
        <f>IFERROR(VLOOKUP($Q419,Selection!$F:$G,2,false))</f>
        <v/>
      </c>
      <c r="Q419" s="50" t="str">
        <f>IF(AND($X419="change",$H419="EUR"),IF(AND($Z419="Crédit",$N419=$N420),$Q420,IF(AND($Z419="Débit",$N419=$N418),$Q418)),IF(OR(AND(OR($E419&lt;&gt;"",$L419=""),$M419&lt;&gt;0),$A419=""),IFERROR(VLOOKUP($E419,Selection!$E:$F,2,false)),IFERROR(VLOOKUP(SUBSTITUTE($I419,"-","",1),$K420:$Q1119,7,false),VLOOKUP($K419,$K420:$Q1119,7,false))))</f>
        <v/>
      </c>
      <c r="R419" s="49" t="str">
        <f t="shared" si="2"/>
        <v/>
      </c>
      <c r="S419" s="51" t="str">
        <f t="shared" si="3"/>
        <v/>
      </c>
      <c r="T419" s="52" t="str">
        <f t="shared" si="4"/>
        <v/>
      </c>
      <c r="U419" s="46" t="str">
        <f t="shared" si="5"/>
        <v/>
      </c>
      <c r="V419" s="53" t="str">
        <f>IFERROR(__xludf.DUMMYFUNCTION(" IF(Account!$F419&lt;&gt;"""", SPLIT(Account!$F419, "" ""), """")"),"")</f>
        <v/>
      </c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</row>
    <row r="420">
      <c r="A420" s="11"/>
      <c r="B420" s="11"/>
      <c r="C420" s="11"/>
      <c r="D420" s="11"/>
      <c r="E420" s="11"/>
      <c r="F420" s="12"/>
      <c r="G420" s="11"/>
      <c r="H420" s="11"/>
      <c r="I420" s="11"/>
      <c r="J420" s="11"/>
      <c r="K420" s="11"/>
      <c r="L420" s="45" t="str">
        <f t="shared" si="1"/>
        <v/>
      </c>
      <c r="M420" s="46" t="str">
        <f>IFERROR(__xludf.DUMMYFUNCTION("IF(Account!$F420&lt;&gt;"""", VALUE(REGEXREPLACE($I420, ""\,"", ""."")), """")"),"")</f>
        <v/>
      </c>
      <c r="N420" s="47" t="str">
        <f>IF(Account!$F420&lt;&gt;"", DATEVALUE(MID($A420,4,3) &amp; LEFT($A420,3) &amp; RIGHT($A420,4)) + TIMEVALUE($B420), "")</f>
        <v/>
      </c>
      <c r="O420" s="48" t="str">
        <f>IF(Account!$F420&lt;&gt;"", DATEVALUE(MID($A420,4,3) &amp; LEFT($A420,3) &amp; RIGHT($A420,4)), "")</f>
        <v/>
      </c>
      <c r="P420" s="49" t="str">
        <f>IFERROR(VLOOKUP($Q420,Selection!$F:$G,2,false))</f>
        <v/>
      </c>
      <c r="Q420" s="50" t="str">
        <f>IF(AND($X420="change",$H420="EUR"),IF(AND($Z420="Crédit",$N420=$N421),$Q421,IF(AND($Z420="Débit",$N420=$N419),$Q419)),IF(OR(AND(OR($E420&lt;&gt;"",$L420=""),$M420&lt;&gt;0),$A420=""),IFERROR(VLOOKUP($E420,Selection!$E:$F,2,false)),IFERROR(VLOOKUP(SUBSTITUTE($I420,"-","",1),$K421:$Q1119,7,false),VLOOKUP($K420,$K421:$Q1119,7,false))))</f>
        <v/>
      </c>
      <c r="R420" s="49" t="str">
        <f t="shared" si="2"/>
        <v/>
      </c>
      <c r="S420" s="51" t="str">
        <f t="shared" si="3"/>
        <v/>
      </c>
      <c r="T420" s="52" t="str">
        <f t="shared" si="4"/>
        <v/>
      </c>
      <c r="U420" s="46" t="str">
        <f t="shared" si="5"/>
        <v/>
      </c>
      <c r="V420" s="53" t="str">
        <f>IFERROR(__xludf.DUMMYFUNCTION(" IF(Account!$F420&lt;&gt;"""", SPLIT(Account!$F420, "" ""), """")"),"")</f>
        <v/>
      </c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</row>
    <row r="421">
      <c r="A421" s="11"/>
      <c r="B421" s="11"/>
      <c r="C421" s="11"/>
      <c r="D421" s="11"/>
      <c r="E421" s="11"/>
      <c r="F421" s="12"/>
      <c r="G421" s="215"/>
      <c r="H421" s="11"/>
      <c r="I421" s="11"/>
      <c r="J421" s="11"/>
      <c r="K421" s="11"/>
      <c r="L421" s="45" t="str">
        <f t="shared" si="1"/>
        <v/>
      </c>
      <c r="M421" s="46" t="str">
        <f>IFERROR(__xludf.DUMMYFUNCTION("IF(Account!$F421&lt;&gt;"""", VALUE(REGEXREPLACE($I421, ""\,"", ""."")), """")"),"")</f>
        <v/>
      </c>
      <c r="N421" s="47" t="str">
        <f>IF(Account!$F421&lt;&gt;"", DATEVALUE(MID($A421,4,3) &amp; LEFT($A421,3) &amp; RIGHT($A421,4)) + TIMEVALUE($B421), "")</f>
        <v/>
      </c>
      <c r="O421" s="48" t="str">
        <f>IF(Account!$F421&lt;&gt;"", DATEVALUE(MID($A421,4,3) &amp; LEFT($A421,3) &amp; RIGHT($A421,4)), "")</f>
        <v/>
      </c>
      <c r="P421" s="49" t="str">
        <f>IFERROR(VLOOKUP($Q421,Selection!$F:$G,2,false))</f>
        <v/>
      </c>
      <c r="Q421" s="50" t="str">
        <f>IF(AND($X421="change",$H421="EUR"),IF(AND($Z421="Crédit",$N421=$N422),$Q422,IF(AND($Z421="Débit",$N421=$N420),$Q420)),IF(OR(AND(OR($E421&lt;&gt;"",$L421=""),$M421&lt;&gt;0),$A421=""),IFERROR(VLOOKUP($E421,Selection!$E:$F,2,false)),IFERROR(VLOOKUP(SUBSTITUTE($I421,"-","",1),$K422:$Q1119,7,false),VLOOKUP($K421,$K422:$Q1119,7,false))))</f>
        <v/>
      </c>
      <c r="R421" s="49" t="str">
        <f t="shared" si="2"/>
        <v/>
      </c>
      <c r="S421" s="51" t="str">
        <f t="shared" si="3"/>
        <v/>
      </c>
      <c r="T421" s="52" t="str">
        <f t="shared" si="4"/>
        <v/>
      </c>
      <c r="U421" s="46" t="str">
        <f t="shared" si="5"/>
        <v/>
      </c>
      <c r="V421" s="53" t="str">
        <f>IFERROR(__xludf.DUMMYFUNCTION(" IF(Account!$F421&lt;&gt;"""", SPLIT(Account!$F421, "" ""), """")"),"")</f>
        <v/>
      </c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</row>
    <row r="422">
      <c r="A422" s="11"/>
      <c r="B422" s="11"/>
      <c r="C422" s="11"/>
      <c r="D422" s="11"/>
      <c r="E422" s="11"/>
      <c r="F422" s="12"/>
      <c r="G422" s="11"/>
      <c r="H422" s="11"/>
      <c r="I422" s="11"/>
      <c r="J422" s="11"/>
      <c r="K422" s="11"/>
      <c r="L422" s="45" t="str">
        <f t="shared" si="1"/>
        <v/>
      </c>
      <c r="M422" s="46" t="str">
        <f>IFERROR(__xludf.DUMMYFUNCTION("IF(Account!$F422&lt;&gt;"""", VALUE(REGEXREPLACE($I422, ""\,"", ""."")), """")"),"")</f>
        <v/>
      </c>
      <c r="N422" s="47" t="str">
        <f>IF(Account!$F422&lt;&gt;"", DATEVALUE(MID($A422,4,3) &amp; LEFT($A422,3) &amp; RIGHT($A422,4)) + TIMEVALUE($B422), "")</f>
        <v/>
      </c>
      <c r="O422" s="48" t="str">
        <f>IF(Account!$F422&lt;&gt;"", DATEVALUE(MID($A422,4,3) &amp; LEFT($A422,3) &amp; RIGHT($A422,4)), "")</f>
        <v/>
      </c>
      <c r="P422" s="49" t="str">
        <f>IFERROR(VLOOKUP($Q422,Selection!$F:$G,2,false))</f>
        <v/>
      </c>
      <c r="Q422" s="50" t="str">
        <f>IF(AND($X422="change",$H422="EUR"),IF(AND($Z422="Crédit",$N422=$N423),$Q423,IF(AND($Z422="Débit",$N422=$N421),$Q421)),IF(OR(AND(OR($E422&lt;&gt;"",$L422=""),$M422&lt;&gt;0),$A422=""),IFERROR(VLOOKUP($E422,Selection!$E:$F,2,false)),IFERROR(VLOOKUP(SUBSTITUTE($I422,"-","",1),$K423:$Q1119,7,false),VLOOKUP($K422,$K423:$Q1119,7,false))))</f>
        <v/>
      </c>
      <c r="R422" s="49" t="str">
        <f t="shared" si="2"/>
        <v/>
      </c>
      <c r="S422" s="51" t="str">
        <f t="shared" si="3"/>
        <v/>
      </c>
      <c r="T422" s="52" t="str">
        <f t="shared" si="4"/>
        <v/>
      </c>
      <c r="U422" s="46" t="str">
        <f t="shared" si="5"/>
        <v/>
      </c>
      <c r="V422" s="53" t="str">
        <f>IFERROR(__xludf.DUMMYFUNCTION(" IF(Account!$F422&lt;&gt;"""", SPLIT(Account!$F422, "" ""), """")"),"")</f>
        <v/>
      </c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</row>
    <row r="423">
      <c r="A423" s="11"/>
      <c r="B423" s="11"/>
      <c r="C423" s="11"/>
      <c r="D423" s="11"/>
      <c r="E423" s="11"/>
      <c r="F423" s="12"/>
      <c r="G423" s="215"/>
      <c r="H423" s="11"/>
      <c r="I423" s="11"/>
      <c r="J423" s="11"/>
      <c r="K423" s="11"/>
      <c r="L423" s="45" t="str">
        <f t="shared" si="1"/>
        <v/>
      </c>
      <c r="M423" s="46" t="str">
        <f>IFERROR(__xludf.DUMMYFUNCTION("IF(Account!$F423&lt;&gt;"""", VALUE(REGEXREPLACE($I423, ""\,"", ""."")), """")"),"")</f>
        <v/>
      </c>
      <c r="N423" s="47" t="str">
        <f>IF(Account!$F423&lt;&gt;"", DATEVALUE(MID($A423,4,3) &amp; LEFT($A423,3) &amp; RIGHT($A423,4)) + TIMEVALUE($B423), "")</f>
        <v/>
      </c>
      <c r="O423" s="48" t="str">
        <f>IF(Account!$F423&lt;&gt;"", DATEVALUE(MID($A423,4,3) &amp; LEFT($A423,3) &amp; RIGHT($A423,4)), "")</f>
        <v/>
      </c>
      <c r="P423" s="49" t="str">
        <f>IFERROR(VLOOKUP($Q423,Selection!$F:$G,2,false))</f>
        <v/>
      </c>
      <c r="Q423" s="50" t="str">
        <f>IF(AND($X423="change",$H423="EUR"),IF(AND($Z423="Crédit",$N423=$N424),$Q424,IF(AND($Z423="Débit",$N423=$N422),$Q422)),IF(OR(AND(OR($E423&lt;&gt;"",$L423=""),$M423&lt;&gt;0),$A423=""),IFERROR(VLOOKUP($E423,Selection!$E:$F,2,false)),IFERROR(VLOOKUP(SUBSTITUTE($I423,"-","",1),$K424:$Q1119,7,false),VLOOKUP($K423,$K424:$Q1119,7,false))))</f>
        <v/>
      </c>
      <c r="R423" s="49" t="str">
        <f t="shared" si="2"/>
        <v/>
      </c>
      <c r="S423" s="51" t="str">
        <f t="shared" si="3"/>
        <v/>
      </c>
      <c r="T423" s="52" t="str">
        <f t="shared" si="4"/>
        <v/>
      </c>
      <c r="U423" s="46" t="str">
        <f t="shared" si="5"/>
        <v/>
      </c>
      <c r="V423" s="53" t="str">
        <f>IFERROR(__xludf.DUMMYFUNCTION(" IF(Account!$F423&lt;&gt;"""", SPLIT(Account!$F423, "" ""), """")"),"")</f>
        <v/>
      </c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</row>
    <row r="424">
      <c r="A424" s="11"/>
      <c r="B424" s="11"/>
      <c r="C424" s="11"/>
      <c r="D424" s="11"/>
      <c r="E424" s="11"/>
      <c r="F424" s="12"/>
      <c r="G424" s="11"/>
      <c r="H424" s="11"/>
      <c r="I424" s="11"/>
      <c r="J424" s="11"/>
      <c r="K424" s="11"/>
      <c r="L424" s="45" t="str">
        <f t="shared" si="1"/>
        <v/>
      </c>
      <c r="M424" s="46" t="str">
        <f>IFERROR(__xludf.DUMMYFUNCTION("IF(Account!$F424&lt;&gt;"""", VALUE(REGEXREPLACE($I424, ""\,"", ""."")), """")"),"")</f>
        <v/>
      </c>
      <c r="N424" s="47" t="str">
        <f>IF(Account!$F424&lt;&gt;"", DATEVALUE(MID($A424,4,3) &amp; LEFT($A424,3) &amp; RIGHT($A424,4)) + TIMEVALUE($B424), "")</f>
        <v/>
      </c>
      <c r="O424" s="48" t="str">
        <f>IF(Account!$F424&lt;&gt;"", DATEVALUE(MID($A424,4,3) &amp; LEFT($A424,3) &amp; RIGHT($A424,4)), "")</f>
        <v/>
      </c>
      <c r="P424" s="49" t="str">
        <f>IFERROR(VLOOKUP($Q424,Selection!$F:$G,2,false))</f>
        <v/>
      </c>
      <c r="Q424" s="50" t="str">
        <f>IF(AND($X424="change",$H424="EUR"),IF(AND($Z424="Crédit",$N424=$N425),$Q425,IF(AND($Z424="Débit",$N424=$N423),$Q423)),IF(OR(AND(OR($E424&lt;&gt;"",$L424=""),$M424&lt;&gt;0),$A424=""),IFERROR(VLOOKUP($E424,Selection!$E:$F,2,false)),IFERROR(VLOOKUP(SUBSTITUTE($I424,"-","",1),$K425:$Q1119,7,false),VLOOKUP($K424,$K425:$Q1119,7,false))))</f>
        <v/>
      </c>
      <c r="R424" s="49" t="str">
        <f t="shared" si="2"/>
        <v/>
      </c>
      <c r="S424" s="51" t="str">
        <f t="shared" si="3"/>
        <v/>
      </c>
      <c r="T424" s="52" t="str">
        <f t="shared" si="4"/>
        <v/>
      </c>
      <c r="U424" s="46" t="str">
        <f t="shared" si="5"/>
        <v/>
      </c>
      <c r="V424" s="53" t="str">
        <f>IFERROR(__xludf.DUMMYFUNCTION(" IF(Account!$F424&lt;&gt;"""", SPLIT(Account!$F424, "" ""), """")"),"")</f>
        <v/>
      </c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</row>
    <row r="425">
      <c r="A425" s="11"/>
      <c r="B425" s="11"/>
      <c r="C425" s="11"/>
      <c r="D425" s="11"/>
      <c r="E425" s="11"/>
      <c r="F425" s="12"/>
      <c r="G425" s="215"/>
      <c r="H425" s="11"/>
      <c r="I425" s="11"/>
      <c r="J425" s="11"/>
      <c r="K425" s="11"/>
      <c r="L425" s="45" t="str">
        <f t="shared" si="1"/>
        <v/>
      </c>
      <c r="M425" s="46" t="str">
        <f>IFERROR(__xludf.DUMMYFUNCTION("IF(Account!$F425&lt;&gt;"""", VALUE(REGEXREPLACE($I425, ""\,"", ""."")), """")"),"")</f>
        <v/>
      </c>
      <c r="N425" s="47" t="str">
        <f>IF(Account!$F425&lt;&gt;"", DATEVALUE(MID($A425,4,3) &amp; LEFT($A425,3) &amp; RIGHT($A425,4)) + TIMEVALUE($B425), "")</f>
        <v/>
      </c>
      <c r="O425" s="48" t="str">
        <f>IF(Account!$F425&lt;&gt;"", DATEVALUE(MID($A425,4,3) &amp; LEFT($A425,3) &amp; RIGHT($A425,4)), "")</f>
        <v/>
      </c>
      <c r="P425" s="49" t="str">
        <f>IFERROR(VLOOKUP($Q425,Selection!$F:$G,2,false))</f>
        <v/>
      </c>
      <c r="Q425" s="50" t="str">
        <f>IF(AND($X425="change",$H425="EUR"),IF(AND($Z425="Crédit",$N425=$N426),$Q426,IF(AND($Z425="Débit",$N425=$N424),$Q424)),IF(OR(AND(OR($E425&lt;&gt;"",$L425=""),$M425&lt;&gt;0),$A425=""),IFERROR(VLOOKUP($E425,Selection!$E:$F,2,false)),IFERROR(VLOOKUP(SUBSTITUTE($I425,"-","",1),$K426:$Q1119,7,false),VLOOKUP($K425,$K426:$Q1119,7,false))))</f>
        <v/>
      </c>
      <c r="R425" s="49" t="str">
        <f t="shared" si="2"/>
        <v/>
      </c>
      <c r="S425" s="51" t="str">
        <f t="shared" si="3"/>
        <v/>
      </c>
      <c r="T425" s="52" t="str">
        <f t="shared" si="4"/>
        <v/>
      </c>
      <c r="U425" s="46" t="str">
        <f t="shared" si="5"/>
        <v/>
      </c>
      <c r="V425" s="53" t="str">
        <f>IFERROR(__xludf.DUMMYFUNCTION(" IF(Account!$F425&lt;&gt;"""", SPLIT(Account!$F425, "" ""), """")"),"")</f>
        <v/>
      </c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</row>
    <row r="426">
      <c r="A426" s="11"/>
      <c r="B426" s="11"/>
      <c r="C426" s="11"/>
      <c r="D426" s="11"/>
      <c r="E426" s="11"/>
      <c r="F426" s="12"/>
      <c r="G426" s="11"/>
      <c r="H426" s="11"/>
      <c r="I426" s="11"/>
      <c r="J426" s="11"/>
      <c r="K426" s="11"/>
      <c r="L426" s="45" t="str">
        <f t="shared" si="1"/>
        <v/>
      </c>
      <c r="M426" s="46" t="str">
        <f>IFERROR(__xludf.DUMMYFUNCTION("IF(Account!$F426&lt;&gt;"""", VALUE(REGEXREPLACE($I426, ""\,"", ""."")), """")"),"")</f>
        <v/>
      </c>
      <c r="N426" s="47" t="str">
        <f>IF(Account!$F426&lt;&gt;"", DATEVALUE(MID($A426,4,3) &amp; LEFT($A426,3) &amp; RIGHT($A426,4)) + TIMEVALUE($B426), "")</f>
        <v/>
      </c>
      <c r="O426" s="48" t="str">
        <f>IF(Account!$F426&lt;&gt;"", DATEVALUE(MID($A426,4,3) &amp; LEFT($A426,3) &amp; RIGHT($A426,4)), "")</f>
        <v/>
      </c>
      <c r="P426" s="49" t="str">
        <f>IFERROR(VLOOKUP($Q426,Selection!$F:$G,2,false))</f>
        <v/>
      </c>
      <c r="Q426" s="50" t="str">
        <f>IF(AND($X426="change",$H426="EUR"),IF(AND($Z426="Crédit",$N426=$N427),$Q427,IF(AND($Z426="Débit",$N426=$N425),$Q425)),IF(OR(AND(OR($E426&lt;&gt;"",$L426=""),$M426&lt;&gt;0),$A426=""),IFERROR(VLOOKUP($E426,Selection!$E:$F,2,false)),IFERROR(VLOOKUP(SUBSTITUTE($I426,"-","",1),$K427:$Q1119,7,false),VLOOKUP($K426,$K427:$Q1119,7,false))))</f>
        <v/>
      </c>
      <c r="R426" s="49" t="str">
        <f t="shared" si="2"/>
        <v/>
      </c>
      <c r="S426" s="51" t="str">
        <f t="shared" si="3"/>
        <v/>
      </c>
      <c r="T426" s="52" t="str">
        <f t="shared" si="4"/>
        <v/>
      </c>
      <c r="U426" s="46" t="str">
        <f t="shared" si="5"/>
        <v/>
      </c>
      <c r="V426" s="53" t="str">
        <f>IFERROR(__xludf.DUMMYFUNCTION(" IF(Account!$F426&lt;&gt;"""", SPLIT(Account!$F426, "" ""), """")"),"")</f>
        <v/>
      </c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</row>
    <row r="427">
      <c r="A427" s="11"/>
      <c r="B427" s="11"/>
      <c r="C427" s="11"/>
      <c r="D427" s="11"/>
      <c r="E427" s="11"/>
      <c r="F427" s="12"/>
      <c r="G427" s="215"/>
      <c r="H427" s="11"/>
      <c r="I427" s="11"/>
      <c r="J427" s="11"/>
      <c r="K427" s="11"/>
      <c r="L427" s="45" t="str">
        <f t="shared" si="1"/>
        <v/>
      </c>
      <c r="M427" s="46" t="str">
        <f>IFERROR(__xludf.DUMMYFUNCTION("IF(Account!$F427&lt;&gt;"""", VALUE(REGEXREPLACE($I427, ""\,"", ""."")), """")"),"")</f>
        <v/>
      </c>
      <c r="N427" s="47" t="str">
        <f>IF(Account!$F427&lt;&gt;"", DATEVALUE(MID($A427,4,3) &amp; LEFT($A427,3) &amp; RIGHT($A427,4)) + TIMEVALUE($B427), "")</f>
        <v/>
      </c>
      <c r="O427" s="48" t="str">
        <f>IF(Account!$F427&lt;&gt;"", DATEVALUE(MID($A427,4,3) &amp; LEFT($A427,3) &amp; RIGHT($A427,4)), "")</f>
        <v/>
      </c>
      <c r="P427" s="49" t="str">
        <f>IFERROR(VLOOKUP($Q427,Selection!$F:$G,2,false))</f>
        <v/>
      </c>
      <c r="Q427" s="50" t="str">
        <f>IF(AND($X427="change",$H427="EUR"),IF(AND($Z427="Crédit",$N427=$N428),$Q428,IF(AND($Z427="Débit",$N427=$N426),$Q426)),IF(OR(AND(OR($E427&lt;&gt;"",$L427=""),$M427&lt;&gt;0),$A427=""),IFERROR(VLOOKUP($E427,Selection!$E:$F,2,false)),IFERROR(VLOOKUP(SUBSTITUTE($I427,"-","",1),$K428:$Q1119,7,false),VLOOKUP($K427,$K428:$Q1119,7,false))))</f>
        <v/>
      </c>
      <c r="R427" s="49" t="str">
        <f t="shared" si="2"/>
        <v/>
      </c>
      <c r="S427" s="51" t="str">
        <f t="shared" si="3"/>
        <v/>
      </c>
      <c r="T427" s="52" t="str">
        <f t="shared" si="4"/>
        <v/>
      </c>
      <c r="U427" s="46" t="str">
        <f t="shared" si="5"/>
        <v/>
      </c>
      <c r="V427" s="53" t="str">
        <f>IFERROR(__xludf.DUMMYFUNCTION(" IF(Account!$F427&lt;&gt;"""", SPLIT(Account!$F427, "" ""), """")"),"")</f>
        <v/>
      </c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</row>
    <row r="428">
      <c r="A428" s="11"/>
      <c r="B428" s="11"/>
      <c r="C428" s="11"/>
      <c r="D428" s="11"/>
      <c r="E428" s="11"/>
      <c r="F428" s="12"/>
      <c r="G428" s="11"/>
      <c r="H428" s="11"/>
      <c r="I428" s="11"/>
      <c r="J428" s="11"/>
      <c r="K428" s="11"/>
      <c r="L428" s="45" t="str">
        <f t="shared" si="1"/>
        <v/>
      </c>
      <c r="M428" s="46" t="str">
        <f>IFERROR(__xludf.DUMMYFUNCTION("IF(Account!$F428&lt;&gt;"""", VALUE(REGEXREPLACE($I428, ""\,"", ""."")), """")"),"")</f>
        <v/>
      </c>
      <c r="N428" s="47" t="str">
        <f>IF(Account!$F428&lt;&gt;"", DATEVALUE(MID($A428,4,3) &amp; LEFT($A428,3) &amp; RIGHT($A428,4)) + TIMEVALUE($B428), "")</f>
        <v/>
      </c>
      <c r="O428" s="48" t="str">
        <f>IF(Account!$F428&lt;&gt;"", DATEVALUE(MID($A428,4,3) &amp; LEFT($A428,3) &amp; RIGHT($A428,4)), "")</f>
        <v/>
      </c>
      <c r="P428" s="49" t="str">
        <f>IFERROR(VLOOKUP($Q428,Selection!$F:$G,2,false))</f>
        <v/>
      </c>
      <c r="Q428" s="50" t="str">
        <f>IF(AND($X428="change",$H428="EUR"),IF(AND($Z428="Crédit",$N428=$N429),$Q429,IF(AND($Z428="Débit",$N428=$N427),$Q427)),IF(OR(AND(OR($E428&lt;&gt;"",$L428=""),$M428&lt;&gt;0),$A428=""),IFERROR(VLOOKUP($E428,Selection!$E:$F,2,false)),IFERROR(VLOOKUP(SUBSTITUTE($I428,"-","",1),$K429:$Q1119,7,false),VLOOKUP($K428,$K429:$Q1119,7,false))))</f>
        <v/>
      </c>
      <c r="R428" s="49" t="str">
        <f t="shared" si="2"/>
        <v/>
      </c>
      <c r="S428" s="51" t="str">
        <f t="shared" si="3"/>
        <v/>
      </c>
      <c r="T428" s="52" t="str">
        <f t="shared" si="4"/>
        <v/>
      </c>
      <c r="U428" s="46" t="str">
        <f t="shared" si="5"/>
        <v/>
      </c>
      <c r="V428" s="53" t="str">
        <f>IFERROR(__xludf.DUMMYFUNCTION(" IF(Account!$F428&lt;&gt;"""", SPLIT(Account!$F428, "" ""), """")"),"")</f>
        <v/>
      </c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</row>
    <row r="429">
      <c r="A429" s="11"/>
      <c r="B429" s="11"/>
      <c r="C429" s="11"/>
      <c r="D429" s="11"/>
      <c r="E429" s="11"/>
      <c r="F429" s="12"/>
      <c r="G429" s="215"/>
      <c r="H429" s="11"/>
      <c r="I429" s="11"/>
      <c r="J429" s="11"/>
      <c r="K429" s="11"/>
      <c r="L429" s="45" t="str">
        <f t="shared" si="1"/>
        <v/>
      </c>
      <c r="M429" s="46" t="str">
        <f>IFERROR(__xludf.DUMMYFUNCTION("IF(Account!$F429&lt;&gt;"""", VALUE(REGEXREPLACE($I429, ""\,"", ""."")), """")"),"")</f>
        <v/>
      </c>
      <c r="N429" s="47" t="str">
        <f>IF(Account!$F429&lt;&gt;"", DATEVALUE(MID($A429,4,3) &amp; LEFT($A429,3) &amp; RIGHT($A429,4)) + TIMEVALUE($B429), "")</f>
        <v/>
      </c>
      <c r="O429" s="48" t="str">
        <f>IF(Account!$F429&lt;&gt;"", DATEVALUE(MID($A429,4,3) &amp; LEFT($A429,3) &amp; RIGHT($A429,4)), "")</f>
        <v/>
      </c>
      <c r="P429" s="49" t="str">
        <f>IFERROR(VLOOKUP($Q429,Selection!$F:$G,2,false))</f>
        <v/>
      </c>
      <c r="Q429" s="50" t="str">
        <f>IF(AND($X429="change",$H429="EUR"),IF(AND($Z429="Crédit",$N429=$N430),$Q430,IF(AND($Z429="Débit",$N429=$N428),$Q428)),IF(OR(AND(OR($E429&lt;&gt;"",$L429=""),$M429&lt;&gt;0),$A429=""),IFERROR(VLOOKUP($E429,Selection!$E:$F,2,false)),IFERROR(VLOOKUP(SUBSTITUTE($I429,"-","",1),$K430:$Q1119,7,false),VLOOKUP($K429,$K430:$Q1119,7,false))))</f>
        <v/>
      </c>
      <c r="R429" s="49" t="str">
        <f t="shared" si="2"/>
        <v/>
      </c>
      <c r="S429" s="51" t="str">
        <f t="shared" si="3"/>
        <v/>
      </c>
      <c r="T429" s="52" t="str">
        <f t="shared" si="4"/>
        <v/>
      </c>
      <c r="U429" s="46" t="str">
        <f t="shared" si="5"/>
        <v/>
      </c>
      <c r="V429" s="53" t="str">
        <f>IFERROR(__xludf.DUMMYFUNCTION(" IF(Account!$F429&lt;&gt;"""", SPLIT(Account!$F429, "" ""), """")"),"")</f>
        <v/>
      </c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</row>
    <row r="430">
      <c r="A430" s="11"/>
      <c r="B430" s="11"/>
      <c r="C430" s="11"/>
      <c r="D430" s="11"/>
      <c r="E430" s="11"/>
      <c r="F430" s="12"/>
      <c r="G430" s="215"/>
      <c r="H430" s="11"/>
      <c r="I430" s="11"/>
      <c r="J430" s="11"/>
      <c r="K430" s="11"/>
      <c r="L430" s="45" t="str">
        <f t="shared" si="1"/>
        <v/>
      </c>
      <c r="M430" s="46" t="str">
        <f>IFERROR(__xludf.DUMMYFUNCTION("IF(Account!$F430&lt;&gt;"""", VALUE(REGEXREPLACE($I430, ""\,"", ""."")), """")"),"")</f>
        <v/>
      </c>
      <c r="N430" s="47" t="str">
        <f>IF(Account!$F430&lt;&gt;"", DATEVALUE(MID($A430,4,3) &amp; LEFT($A430,3) &amp; RIGHT($A430,4)) + TIMEVALUE($B430), "")</f>
        <v/>
      </c>
      <c r="O430" s="48" t="str">
        <f>IF(Account!$F430&lt;&gt;"", DATEVALUE(MID($A430,4,3) &amp; LEFT($A430,3) &amp; RIGHT($A430,4)), "")</f>
        <v/>
      </c>
      <c r="P430" s="49" t="str">
        <f>IFERROR(VLOOKUP($Q430,Selection!$F:$G,2,false))</f>
        <v/>
      </c>
      <c r="Q430" s="50" t="str">
        <f>IF(AND($X430="change",$H430="EUR"),IF(AND($Z430="Crédit",$N430=$N431),$Q431,IF(AND($Z430="Débit",$N430=$N429),$Q429)),IF(OR(AND(OR($E430&lt;&gt;"",$L430=""),$M430&lt;&gt;0),$A430=""),IFERROR(VLOOKUP($E430,Selection!$E:$F,2,false)),IFERROR(VLOOKUP(SUBSTITUTE($I430,"-","",1),$K431:$Q1119,7,false),VLOOKUP($K430,$K431:$Q1119,7,false))))</f>
        <v/>
      </c>
      <c r="R430" s="49" t="str">
        <f t="shared" si="2"/>
        <v/>
      </c>
      <c r="S430" s="51" t="str">
        <f t="shared" si="3"/>
        <v/>
      </c>
      <c r="T430" s="52" t="str">
        <f t="shared" si="4"/>
        <v/>
      </c>
      <c r="U430" s="46" t="str">
        <f t="shared" si="5"/>
        <v/>
      </c>
      <c r="V430" s="53" t="str">
        <f>IFERROR(__xludf.DUMMYFUNCTION(" IF(Account!$F430&lt;&gt;"""", SPLIT(Account!$F430, "" ""), """")"),"")</f>
        <v/>
      </c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</row>
    <row r="431">
      <c r="A431" s="11"/>
      <c r="B431" s="11"/>
      <c r="C431" s="11"/>
      <c r="D431" s="11"/>
      <c r="E431" s="11"/>
      <c r="F431" s="12"/>
      <c r="G431" s="215"/>
      <c r="H431" s="11"/>
      <c r="I431" s="11"/>
      <c r="J431" s="11"/>
      <c r="K431" s="11"/>
      <c r="L431" s="45" t="str">
        <f t="shared" si="1"/>
        <v/>
      </c>
      <c r="M431" s="46" t="str">
        <f>IFERROR(__xludf.DUMMYFUNCTION("IF(Account!$F431&lt;&gt;"""", VALUE(REGEXREPLACE($I431, ""\,"", ""."")), """")"),"")</f>
        <v/>
      </c>
      <c r="N431" s="47" t="str">
        <f>IF(Account!$F431&lt;&gt;"", DATEVALUE(MID($A431,4,3) &amp; LEFT($A431,3) &amp; RIGHT($A431,4)) + TIMEVALUE($B431), "")</f>
        <v/>
      </c>
      <c r="O431" s="48" t="str">
        <f>IF(Account!$F431&lt;&gt;"", DATEVALUE(MID($A431,4,3) &amp; LEFT($A431,3) &amp; RIGHT($A431,4)), "")</f>
        <v/>
      </c>
      <c r="P431" s="49" t="str">
        <f>IFERROR(VLOOKUP($Q431,Selection!$F:$G,2,false))</f>
        <v/>
      </c>
      <c r="Q431" s="50" t="str">
        <f>IF(AND($X431="change",$H431="EUR"),IF(AND($Z431="Crédit",$N431=$N432),$Q432,IF(AND($Z431="Débit",$N431=$N430),$Q430)),IF(OR(AND(OR($E431&lt;&gt;"",$L431=""),$M431&lt;&gt;0),$A431=""),IFERROR(VLOOKUP($E431,Selection!$E:$F,2,false)),IFERROR(VLOOKUP(SUBSTITUTE($I431,"-","",1),$K432:$Q1119,7,false),VLOOKUP($K431,$K432:$Q1119,7,false))))</f>
        <v/>
      </c>
      <c r="R431" s="49" t="str">
        <f t="shared" si="2"/>
        <v/>
      </c>
      <c r="S431" s="51" t="str">
        <f t="shared" si="3"/>
        <v/>
      </c>
      <c r="T431" s="52" t="str">
        <f t="shared" si="4"/>
        <v/>
      </c>
      <c r="U431" s="46" t="str">
        <f t="shared" si="5"/>
        <v/>
      </c>
      <c r="V431" s="53" t="str">
        <f>IFERROR(__xludf.DUMMYFUNCTION(" IF(Account!$F431&lt;&gt;"""", SPLIT(Account!$F431, "" ""), """")"),"")</f>
        <v/>
      </c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</row>
    <row r="432">
      <c r="A432" s="11"/>
      <c r="B432" s="11"/>
      <c r="C432" s="11"/>
      <c r="D432" s="11"/>
      <c r="E432" s="11"/>
      <c r="F432" s="12"/>
      <c r="G432" s="215"/>
      <c r="H432" s="11"/>
      <c r="I432" s="11"/>
      <c r="J432" s="11"/>
      <c r="K432" s="11"/>
      <c r="L432" s="45" t="str">
        <f t="shared" si="1"/>
        <v/>
      </c>
      <c r="M432" s="46" t="str">
        <f>IFERROR(__xludf.DUMMYFUNCTION("IF(Account!$F432&lt;&gt;"""", VALUE(REGEXREPLACE($I432, ""\,"", ""."")), """")"),"")</f>
        <v/>
      </c>
      <c r="N432" s="47" t="str">
        <f>IF(Account!$F432&lt;&gt;"", DATEVALUE(MID($A432,4,3) &amp; LEFT($A432,3) &amp; RIGHT($A432,4)) + TIMEVALUE($B432), "")</f>
        <v/>
      </c>
      <c r="O432" s="48" t="str">
        <f>IF(Account!$F432&lt;&gt;"", DATEVALUE(MID($A432,4,3) &amp; LEFT($A432,3) &amp; RIGHT($A432,4)), "")</f>
        <v/>
      </c>
      <c r="P432" s="49" t="str">
        <f>IFERROR(VLOOKUP($Q432,Selection!$F:$G,2,false))</f>
        <v/>
      </c>
      <c r="Q432" s="50" t="str">
        <f>IF(AND($X432="change",$H432="EUR"),IF(AND($Z432="Crédit",$N432=$N433),$Q433,IF(AND($Z432="Débit",$N432=$N431),$Q431)),IF(OR(AND(OR($E432&lt;&gt;"",$L432=""),$M432&lt;&gt;0),$A432=""),IFERROR(VLOOKUP($E432,Selection!$E:$F,2,false)),IFERROR(VLOOKUP(SUBSTITUTE($I432,"-","",1),$K433:$Q1119,7,false),VLOOKUP($K432,$K433:$Q1119,7,false))))</f>
        <v/>
      </c>
      <c r="R432" s="49" t="str">
        <f t="shared" si="2"/>
        <v/>
      </c>
      <c r="S432" s="51" t="str">
        <f t="shared" si="3"/>
        <v/>
      </c>
      <c r="T432" s="52" t="str">
        <f t="shared" si="4"/>
        <v/>
      </c>
      <c r="U432" s="46" t="str">
        <f t="shared" si="5"/>
        <v/>
      </c>
      <c r="V432" s="53" t="str">
        <f>IFERROR(__xludf.DUMMYFUNCTION(" IF(Account!$F432&lt;&gt;"""", SPLIT(Account!$F432, "" ""), """")"),"")</f>
        <v/>
      </c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</row>
    <row r="433">
      <c r="A433" s="11"/>
      <c r="B433" s="11"/>
      <c r="C433" s="11"/>
      <c r="D433" s="11"/>
      <c r="E433" s="11"/>
      <c r="F433" s="12"/>
      <c r="G433" s="215"/>
      <c r="H433" s="11"/>
      <c r="I433" s="11"/>
      <c r="J433" s="11"/>
      <c r="K433" s="11"/>
      <c r="L433" s="45" t="str">
        <f t="shared" si="1"/>
        <v/>
      </c>
      <c r="M433" s="46" t="str">
        <f>IFERROR(__xludf.DUMMYFUNCTION("IF(Account!$F433&lt;&gt;"""", VALUE(REGEXREPLACE($I433, ""\,"", ""."")), """")"),"")</f>
        <v/>
      </c>
      <c r="N433" s="47" t="str">
        <f>IF(Account!$F433&lt;&gt;"", DATEVALUE(MID($A433,4,3) &amp; LEFT($A433,3) &amp; RIGHT($A433,4)) + TIMEVALUE($B433), "")</f>
        <v/>
      </c>
      <c r="O433" s="48" t="str">
        <f>IF(Account!$F433&lt;&gt;"", DATEVALUE(MID($A433,4,3) &amp; LEFT($A433,3) &amp; RIGHT($A433,4)), "")</f>
        <v/>
      </c>
      <c r="P433" s="49" t="str">
        <f>IFERROR(VLOOKUP($Q433,Selection!$F:$G,2,false))</f>
        <v/>
      </c>
      <c r="Q433" s="50" t="str">
        <f>IF(AND($X433="change",$H433="EUR"),IF(AND($Z433="Crédit",$N433=$N434),$Q434,IF(AND($Z433="Débit",$N433=$N432),$Q432)),IF(OR(AND(OR($E433&lt;&gt;"",$L433=""),$M433&lt;&gt;0),$A433=""),IFERROR(VLOOKUP($E433,Selection!$E:$F,2,false)),IFERROR(VLOOKUP(SUBSTITUTE($I433,"-","",1),$K434:$Q1119,7,false),VLOOKUP($K433,$K434:$Q1119,7,false))))</f>
        <v/>
      </c>
      <c r="R433" s="49" t="str">
        <f t="shared" si="2"/>
        <v/>
      </c>
      <c r="S433" s="51" t="str">
        <f t="shared" si="3"/>
        <v/>
      </c>
      <c r="T433" s="52" t="str">
        <f t="shared" si="4"/>
        <v/>
      </c>
      <c r="U433" s="46" t="str">
        <f t="shared" si="5"/>
        <v/>
      </c>
      <c r="V433" s="53" t="str">
        <f>IFERROR(__xludf.DUMMYFUNCTION(" IF(Account!$F433&lt;&gt;"""", SPLIT(Account!$F433, "" ""), """")"),"")</f>
        <v/>
      </c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</row>
    <row r="434">
      <c r="A434" s="11"/>
      <c r="B434" s="11"/>
      <c r="C434" s="11"/>
      <c r="D434" s="11"/>
      <c r="E434" s="11"/>
      <c r="F434" s="12"/>
      <c r="G434" s="215"/>
      <c r="H434" s="11"/>
      <c r="I434" s="11"/>
      <c r="J434" s="11"/>
      <c r="K434" s="11"/>
      <c r="L434" s="45" t="str">
        <f t="shared" si="1"/>
        <v/>
      </c>
      <c r="M434" s="46" t="str">
        <f>IFERROR(__xludf.DUMMYFUNCTION("IF(Account!$F434&lt;&gt;"""", VALUE(REGEXREPLACE($I434, ""\,"", ""."")), """")"),"")</f>
        <v/>
      </c>
      <c r="N434" s="47" t="str">
        <f>IF(Account!$F434&lt;&gt;"", DATEVALUE(MID($A434,4,3) &amp; LEFT($A434,3) &amp; RIGHT($A434,4)) + TIMEVALUE($B434), "")</f>
        <v/>
      </c>
      <c r="O434" s="48" t="str">
        <f>IF(Account!$F434&lt;&gt;"", DATEVALUE(MID($A434,4,3) &amp; LEFT($A434,3) &amp; RIGHT($A434,4)), "")</f>
        <v/>
      </c>
      <c r="P434" s="49" t="str">
        <f>IFERROR(VLOOKUP($Q434,Selection!$F:$G,2,false))</f>
        <v/>
      </c>
      <c r="Q434" s="50" t="str">
        <f>IF(AND($X434="change",$H434="EUR"),IF(AND($Z434="Crédit",$N434=$N435),$Q435,IF(AND($Z434="Débit",$N434=$N433),$Q433)),IF(OR(AND(OR($E434&lt;&gt;"",$L434=""),$M434&lt;&gt;0),$A434=""),IFERROR(VLOOKUP($E434,Selection!$E:$F,2,false)),IFERROR(VLOOKUP(SUBSTITUTE($I434,"-","",1),$K435:$Q1119,7,false),VLOOKUP($K434,$K435:$Q1119,7,false))))</f>
        <v/>
      </c>
      <c r="R434" s="49" t="str">
        <f t="shared" si="2"/>
        <v/>
      </c>
      <c r="S434" s="51" t="str">
        <f t="shared" si="3"/>
        <v/>
      </c>
      <c r="T434" s="52" t="str">
        <f t="shared" si="4"/>
        <v/>
      </c>
      <c r="U434" s="46" t="str">
        <f t="shared" si="5"/>
        <v/>
      </c>
      <c r="V434" s="53" t="str">
        <f>IFERROR(__xludf.DUMMYFUNCTION(" IF(Account!$F434&lt;&gt;"""", SPLIT(Account!$F434, "" ""), """")"),"")</f>
        <v/>
      </c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</row>
    <row r="435">
      <c r="A435" s="11"/>
      <c r="B435" s="11"/>
      <c r="C435" s="11"/>
      <c r="D435" s="11"/>
      <c r="E435" s="11"/>
      <c r="F435" s="12"/>
      <c r="G435" s="11"/>
      <c r="H435" s="11"/>
      <c r="I435" s="11"/>
      <c r="J435" s="11"/>
      <c r="K435" s="11"/>
      <c r="L435" s="45" t="str">
        <f t="shared" si="1"/>
        <v/>
      </c>
      <c r="M435" s="46" t="str">
        <f>IFERROR(__xludf.DUMMYFUNCTION("IF(Account!$F435&lt;&gt;"""", VALUE(REGEXREPLACE($I435, ""\,"", ""."")), """")"),"")</f>
        <v/>
      </c>
      <c r="N435" s="47" t="str">
        <f>IF(Account!$F435&lt;&gt;"", DATEVALUE(MID($A435,4,3) &amp; LEFT($A435,3) &amp; RIGHT($A435,4)) + TIMEVALUE($B435), "")</f>
        <v/>
      </c>
      <c r="O435" s="48" t="str">
        <f>IF(Account!$F435&lt;&gt;"", DATEVALUE(MID($A435,4,3) &amp; LEFT($A435,3) &amp; RIGHT($A435,4)), "")</f>
        <v/>
      </c>
      <c r="P435" s="49" t="str">
        <f>IFERROR(VLOOKUP($Q435,Selection!$F:$G,2,false))</f>
        <v/>
      </c>
      <c r="Q435" s="50" t="str">
        <f>IF(AND($X435="change",$H435="EUR"),IF(AND($Z435="Crédit",$N435=$N436),$Q436,IF(AND($Z435="Débit",$N435=$N434),$Q434)),IF(OR(AND(OR($E435&lt;&gt;"",$L435=""),$M435&lt;&gt;0),$A435=""),IFERROR(VLOOKUP($E435,Selection!$E:$F,2,false)),IFERROR(VLOOKUP(SUBSTITUTE($I435,"-","",1),$K436:$Q1119,7,false),VLOOKUP($K435,$K436:$Q1119,7,false))))</f>
        <v/>
      </c>
      <c r="R435" s="49" t="str">
        <f t="shared" si="2"/>
        <v/>
      </c>
      <c r="S435" s="51" t="str">
        <f t="shared" si="3"/>
        <v/>
      </c>
      <c r="T435" s="52" t="str">
        <f t="shared" si="4"/>
        <v/>
      </c>
      <c r="U435" s="46" t="str">
        <f t="shared" si="5"/>
        <v/>
      </c>
      <c r="V435" s="53" t="str">
        <f>IFERROR(__xludf.DUMMYFUNCTION(" IF(Account!$F435&lt;&gt;"""", SPLIT(Account!$F435, "" ""), """")"),"")</f>
        <v/>
      </c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</row>
    <row r="436">
      <c r="A436" s="11"/>
      <c r="B436" s="11"/>
      <c r="C436" s="11"/>
      <c r="D436" s="11"/>
      <c r="E436" s="11"/>
      <c r="F436" s="12"/>
      <c r="G436" s="215"/>
      <c r="H436" s="11"/>
      <c r="I436" s="11"/>
      <c r="J436" s="11"/>
      <c r="K436" s="11"/>
      <c r="L436" s="45" t="str">
        <f t="shared" si="1"/>
        <v/>
      </c>
      <c r="M436" s="46" t="str">
        <f>IFERROR(__xludf.DUMMYFUNCTION("IF(Account!$F436&lt;&gt;"""", VALUE(REGEXREPLACE($I436, ""\,"", ""."")), """")"),"")</f>
        <v/>
      </c>
      <c r="N436" s="47" t="str">
        <f>IF(Account!$F436&lt;&gt;"", DATEVALUE(MID($A436,4,3) &amp; LEFT($A436,3) &amp; RIGHT($A436,4)) + TIMEVALUE($B436), "")</f>
        <v/>
      </c>
      <c r="O436" s="48" t="str">
        <f>IF(Account!$F436&lt;&gt;"", DATEVALUE(MID($A436,4,3) &amp; LEFT($A436,3) &amp; RIGHT($A436,4)), "")</f>
        <v/>
      </c>
      <c r="P436" s="49" t="str">
        <f>IFERROR(VLOOKUP($Q436,Selection!$F:$G,2,false))</f>
        <v/>
      </c>
      <c r="Q436" s="50" t="str">
        <f>IF(AND($X436="change",$H436="EUR"),IF(AND($Z436="Crédit",$N436=$N437),$Q437,IF(AND($Z436="Débit",$N436=$N435),$Q435)),IF(OR(AND(OR($E436&lt;&gt;"",$L436=""),$M436&lt;&gt;0),$A436=""),IFERROR(VLOOKUP($E436,Selection!$E:$F,2,false)),IFERROR(VLOOKUP(SUBSTITUTE($I436,"-","",1),$K437:$Q1119,7,false),VLOOKUP($K436,$K437:$Q1119,7,false))))</f>
        <v/>
      </c>
      <c r="R436" s="49" t="str">
        <f t="shared" si="2"/>
        <v/>
      </c>
      <c r="S436" s="51" t="str">
        <f t="shared" si="3"/>
        <v/>
      </c>
      <c r="T436" s="52" t="str">
        <f t="shared" si="4"/>
        <v/>
      </c>
      <c r="U436" s="46" t="str">
        <f t="shared" si="5"/>
        <v/>
      </c>
      <c r="V436" s="53" t="str">
        <f>IFERROR(__xludf.DUMMYFUNCTION(" IF(Account!$F436&lt;&gt;"""", SPLIT(Account!$F436, "" ""), """")"),"")</f>
        <v/>
      </c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</row>
    <row r="437">
      <c r="A437" s="11"/>
      <c r="B437" s="11"/>
      <c r="C437" s="11"/>
      <c r="D437" s="11"/>
      <c r="E437" s="11"/>
      <c r="F437" s="12"/>
      <c r="G437" s="215"/>
      <c r="H437" s="11"/>
      <c r="I437" s="11"/>
      <c r="J437" s="11"/>
      <c r="K437" s="11"/>
      <c r="L437" s="45" t="str">
        <f t="shared" si="1"/>
        <v/>
      </c>
      <c r="M437" s="46" t="str">
        <f>IFERROR(__xludf.DUMMYFUNCTION("IF(Account!$F437&lt;&gt;"""", VALUE(REGEXREPLACE($I437, ""\,"", ""."")), """")"),"")</f>
        <v/>
      </c>
      <c r="N437" s="47" t="str">
        <f>IF(Account!$F437&lt;&gt;"", DATEVALUE(MID($A437,4,3) &amp; LEFT($A437,3) &amp; RIGHT($A437,4)) + TIMEVALUE($B437), "")</f>
        <v/>
      </c>
      <c r="O437" s="48" t="str">
        <f>IF(Account!$F437&lt;&gt;"", DATEVALUE(MID($A437,4,3) &amp; LEFT($A437,3) &amp; RIGHT($A437,4)), "")</f>
        <v/>
      </c>
      <c r="P437" s="49" t="str">
        <f>IFERROR(VLOOKUP($Q437,Selection!$F:$G,2,false))</f>
        <v/>
      </c>
      <c r="Q437" s="50" t="str">
        <f>IF(AND($X437="change",$H437="EUR"),IF(AND($Z437="Crédit",$N437=$N438),$Q438,IF(AND($Z437="Débit",$N437=$N436),$Q436)),IF(OR(AND(OR($E437&lt;&gt;"",$L437=""),$M437&lt;&gt;0),$A437=""),IFERROR(VLOOKUP($E437,Selection!$E:$F,2,false)),IFERROR(VLOOKUP(SUBSTITUTE($I437,"-","",1),$K438:$Q1119,7,false),VLOOKUP($K437,$K438:$Q1119,7,false))))</f>
        <v/>
      </c>
      <c r="R437" s="49" t="str">
        <f t="shared" si="2"/>
        <v/>
      </c>
      <c r="S437" s="51" t="str">
        <f t="shared" si="3"/>
        <v/>
      </c>
      <c r="T437" s="52" t="str">
        <f t="shared" si="4"/>
        <v/>
      </c>
      <c r="U437" s="46" t="str">
        <f t="shared" si="5"/>
        <v/>
      </c>
      <c r="V437" s="53" t="str">
        <f>IFERROR(__xludf.DUMMYFUNCTION(" IF(Account!$F437&lt;&gt;"""", SPLIT(Account!$F437, "" ""), """")"),"")</f>
        <v/>
      </c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</row>
    <row r="438">
      <c r="A438" s="11"/>
      <c r="B438" s="11"/>
      <c r="C438" s="11"/>
      <c r="D438" s="11"/>
      <c r="E438" s="11"/>
      <c r="F438" s="12"/>
      <c r="G438" s="215"/>
      <c r="H438" s="11"/>
      <c r="I438" s="11"/>
      <c r="J438" s="11"/>
      <c r="K438" s="11"/>
      <c r="L438" s="45" t="str">
        <f t="shared" si="1"/>
        <v/>
      </c>
      <c r="M438" s="46" t="str">
        <f>IFERROR(__xludf.DUMMYFUNCTION("IF(Account!$F438&lt;&gt;"""", VALUE(REGEXREPLACE($I438, ""\,"", ""."")), """")"),"")</f>
        <v/>
      </c>
      <c r="N438" s="47" t="str">
        <f>IF(Account!$F438&lt;&gt;"", DATEVALUE(MID($A438,4,3) &amp; LEFT($A438,3) &amp; RIGHT($A438,4)) + TIMEVALUE($B438), "")</f>
        <v/>
      </c>
      <c r="O438" s="48" t="str">
        <f>IF(Account!$F438&lt;&gt;"", DATEVALUE(MID($A438,4,3) &amp; LEFT($A438,3) &amp; RIGHT($A438,4)), "")</f>
        <v/>
      </c>
      <c r="P438" s="49" t="str">
        <f>IFERROR(VLOOKUP($Q438,Selection!$F:$G,2,false))</f>
        <v/>
      </c>
      <c r="Q438" s="50" t="str">
        <f>IF(AND($X438="change",$H438="EUR"),IF(AND($Z438="Crédit",$N438=$N439),$Q439,IF(AND($Z438="Débit",$N438=$N437),$Q437)),IF(OR(AND(OR($E438&lt;&gt;"",$L438=""),$M438&lt;&gt;0),$A438=""),IFERROR(VLOOKUP($E438,Selection!$E:$F,2,false)),IFERROR(VLOOKUP(SUBSTITUTE($I438,"-","",1),$K439:$Q1119,7,false),VLOOKUP($K438,$K439:$Q1119,7,false))))</f>
        <v/>
      </c>
      <c r="R438" s="49" t="str">
        <f t="shared" si="2"/>
        <v/>
      </c>
      <c r="S438" s="51" t="str">
        <f t="shared" si="3"/>
        <v/>
      </c>
      <c r="T438" s="52" t="str">
        <f t="shared" si="4"/>
        <v/>
      </c>
      <c r="U438" s="46" t="str">
        <f t="shared" si="5"/>
        <v/>
      </c>
      <c r="V438" s="53" t="str">
        <f>IFERROR(__xludf.DUMMYFUNCTION(" IF(Account!$F438&lt;&gt;"""", SPLIT(Account!$F438, "" ""), """")"),"")</f>
        <v/>
      </c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</row>
    <row r="439">
      <c r="A439" s="11"/>
      <c r="B439" s="11"/>
      <c r="C439" s="11"/>
      <c r="D439" s="11"/>
      <c r="E439" s="11"/>
      <c r="F439" s="12"/>
      <c r="G439" s="215"/>
      <c r="H439" s="11"/>
      <c r="I439" s="11"/>
      <c r="J439" s="11"/>
      <c r="K439" s="11"/>
      <c r="L439" s="45" t="str">
        <f t="shared" si="1"/>
        <v/>
      </c>
      <c r="M439" s="46" t="str">
        <f>IFERROR(__xludf.DUMMYFUNCTION("IF(Account!$F439&lt;&gt;"""", VALUE(REGEXREPLACE($I439, ""\,"", ""."")), """")"),"")</f>
        <v/>
      </c>
      <c r="N439" s="47" t="str">
        <f>IF(Account!$F439&lt;&gt;"", DATEVALUE(MID($A439,4,3) &amp; LEFT($A439,3) &amp; RIGHT($A439,4)) + TIMEVALUE($B439), "")</f>
        <v/>
      </c>
      <c r="O439" s="48" t="str">
        <f>IF(Account!$F439&lt;&gt;"", DATEVALUE(MID($A439,4,3) &amp; LEFT($A439,3) &amp; RIGHT($A439,4)), "")</f>
        <v/>
      </c>
      <c r="P439" s="49" t="str">
        <f>IFERROR(VLOOKUP($Q439,Selection!$F:$G,2,false))</f>
        <v/>
      </c>
      <c r="Q439" s="50" t="str">
        <f>IF(AND($X439="change",$H439="EUR"),IF(AND($Z439="Crédit",$N439=$N440),$Q440,IF(AND($Z439="Débit",$N439=$N438),$Q438)),IF(OR(AND(OR($E439&lt;&gt;"",$L439=""),$M439&lt;&gt;0),$A439=""),IFERROR(VLOOKUP($E439,Selection!$E:$F,2,false)),IFERROR(VLOOKUP(SUBSTITUTE($I439,"-","",1),$K440:$Q1119,7,false),VLOOKUP($K439,$K440:$Q1119,7,false))))</f>
        <v/>
      </c>
      <c r="R439" s="49" t="str">
        <f t="shared" si="2"/>
        <v/>
      </c>
      <c r="S439" s="51" t="str">
        <f t="shared" si="3"/>
        <v/>
      </c>
      <c r="T439" s="52" t="str">
        <f t="shared" si="4"/>
        <v/>
      </c>
      <c r="U439" s="46" t="str">
        <f t="shared" si="5"/>
        <v/>
      </c>
      <c r="V439" s="53" t="str">
        <f>IFERROR(__xludf.DUMMYFUNCTION(" IF(Account!$F439&lt;&gt;"""", SPLIT(Account!$F439, "" ""), """")"),"")</f>
        <v/>
      </c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</row>
    <row r="440">
      <c r="A440" s="11"/>
      <c r="B440" s="11"/>
      <c r="C440" s="11"/>
      <c r="D440" s="11"/>
      <c r="E440" s="11"/>
      <c r="F440" s="12"/>
      <c r="G440" s="215"/>
      <c r="H440" s="11"/>
      <c r="I440" s="11"/>
      <c r="J440" s="11"/>
      <c r="K440" s="11"/>
      <c r="L440" s="45" t="str">
        <f t="shared" si="1"/>
        <v/>
      </c>
      <c r="M440" s="46" t="str">
        <f>IFERROR(__xludf.DUMMYFUNCTION("IF(Account!$F440&lt;&gt;"""", VALUE(REGEXREPLACE($I440, ""\,"", ""."")), """")"),"")</f>
        <v/>
      </c>
      <c r="N440" s="47" t="str">
        <f>IF(Account!$F440&lt;&gt;"", DATEVALUE(MID($A440,4,3) &amp; LEFT($A440,3) &amp; RIGHT($A440,4)) + TIMEVALUE($B440), "")</f>
        <v/>
      </c>
      <c r="O440" s="48" t="str">
        <f>IF(Account!$F440&lt;&gt;"", DATEVALUE(MID($A440,4,3) &amp; LEFT($A440,3) &amp; RIGHT($A440,4)), "")</f>
        <v/>
      </c>
      <c r="P440" s="49" t="str">
        <f>IFERROR(VLOOKUP($Q440,Selection!$F:$G,2,false))</f>
        <v/>
      </c>
      <c r="Q440" s="50" t="str">
        <f>IF(AND($X440="change",$H440="EUR"),IF(AND($Z440="Crédit",$N440=$N441),$Q441,IF(AND($Z440="Débit",$N440=$N439),$Q439)),IF(OR(AND(OR($E440&lt;&gt;"",$L440=""),$M440&lt;&gt;0),$A440=""),IFERROR(VLOOKUP($E440,Selection!$E:$F,2,false)),IFERROR(VLOOKUP(SUBSTITUTE($I440,"-","",1),$K441:$Q1119,7,false),VLOOKUP($K440,$K441:$Q1119,7,false))))</f>
        <v/>
      </c>
      <c r="R440" s="49" t="str">
        <f t="shared" si="2"/>
        <v/>
      </c>
      <c r="S440" s="51" t="str">
        <f t="shared" si="3"/>
        <v/>
      </c>
      <c r="T440" s="52" t="str">
        <f t="shared" si="4"/>
        <v/>
      </c>
      <c r="U440" s="46" t="str">
        <f t="shared" si="5"/>
        <v/>
      </c>
      <c r="V440" s="53" t="str">
        <f>IFERROR(__xludf.DUMMYFUNCTION(" IF(Account!$F440&lt;&gt;"""", SPLIT(Account!$F440, "" ""), """")"),"")</f>
        <v/>
      </c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</row>
    <row r="441">
      <c r="A441" s="11"/>
      <c r="B441" s="11"/>
      <c r="C441" s="11"/>
      <c r="D441" s="11"/>
      <c r="E441" s="11"/>
      <c r="F441" s="12"/>
      <c r="G441" s="215"/>
      <c r="H441" s="11"/>
      <c r="I441" s="11"/>
      <c r="J441" s="11"/>
      <c r="K441" s="11"/>
      <c r="L441" s="45" t="str">
        <f t="shared" si="1"/>
        <v/>
      </c>
      <c r="M441" s="46" t="str">
        <f>IFERROR(__xludf.DUMMYFUNCTION("IF(Account!$F441&lt;&gt;"""", VALUE(REGEXREPLACE($I441, ""\,"", ""."")), """")"),"")</f>
        <v/>
      </c>
      <c r="N441" s="47" t="str">
        <f>IF(Account!$F441&lt;&gt;"", DATEVALUE(MID($A441,4,3) &amp; LEFT($A441,3) &amp; RIGHT($A441,4)) + TIMEVALUE($B441), "")</f>
        <v/>
      </c>
      <c r="O441" s="48" t="str">
        <f>IF(Account!$F441&lt;&gt;"", DATEVALUE(MID($A441,4,3) &amp; LEFT($A441,3) &amp; RIGHT($A441,4)), "")</f>
        <v/>
      </c>
      <c r="P441" s="49" t="str">
        <f>IFERROR(VLOOKUP($Q441,Selection!$F:$G,2,false))</f>
        <v/>
      </c>
      <c r="Q441" s="50" t="str">
        <f>IF(AND($X441="change",$H441="EUR"),IF(AND($Z441="Crédit",$N441=$N442),$Q442,IF(AND($Z441="Débit",$N441=$N440),$Q440)),IF(OR(AND(OR($E441&lt;&gt;"",$L441=""),$M441&lt;&gt;0),$A441=""),IFERROR(VLOOKUP($E441,Selection!$E:$F,2,false)),IFERROR(VLOOKUP(SUBSTITUTE($I441,"-","",1),$K442:$Q1119,7,false),VLOOKUP($K441,$K442:$Q1119,7,false))))</f>
        <v/>
      </c>
      <c r="R441" s="49" t="str">
        <f t="shared" si="2"/>
        <v/>
      </c>
      <c r="S441" s="51" t="str">
        <f t="shared" si="3"/>
        <v/>
      </c>
      <c r="T441" s="52" t="str">
        <f t="shared" si="4"/>
        <v/>
      </c>
      <c r="U441" s="46" t="str">
        <f t="shared" si="5"/>
        <v/>
      </c>
      <c r="V441" s="53" t="str">
        <f>IFERROR(__xludf.DUMMYFUNCTION(" IF(Account!$F441&lt;&gt;"""", SPLIT(Account!$F441, "" ""), """")"),"")</f>
        <v/>
      </c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</row>
    <row r="442">
      <c r="A442" s="11"/>
      <c r="B442" s="11"/>
      <c r="C442" s="11"/>
      <c r="D442" s="11"/>
      <c r="E442" s="11"/>
      <c r="F442" s="12"/>
      <c r="G442" s="215"/>
      <c r="H442" s="215"/>
      <c r="I442" s="215"/>
      <c r="J442" s="11"/>
      <c r="K442" s="11"/>
      <c r="L442" s="45" t="str">
        <f t="shared" si="1"/>
        <v/>
      </c>
      <c r="M442" s="46" t="str">
        <f>IFERROR(__xludf.DUMMYFUNCTION("IF(Account!$F442&lt;&gt;"""", VALUE(REGEXREPLACE($I442, ""\,"", ""."")), """")"),"")</f>
        <v/>
      </c>
      <c r="N442" s="47" t="str">
        <f>IF(Account!$F442&lt;&gt;"", DATEVALUE(MID($A442,4,3) &amp; LEFT($A442,3) &amp; RIGHT($A442,4)) + TIMEVALUE($B442), "")</f>
        <v/>
      </c>
      <c r="O442" s="48" t="str">
        <f>IF(Account!$F442&lt;&gt;"", DATEVALUE(MID($A442,4,3) &amp; LEFT($A442,3) &amp; RIGHT($A442,4)), "")</f>
        <v/>
      </c>
      <c r="P442" s="49" t="str">
        <f>IFERROR(VLOOKUP($Q442,Selection!$F:$G,2,false))</f>
        <v/>
      </c>
      <c r="Q442" s="50" t="str">
        <f>IF(AND($X442="change",$H442="EUR"),IF(AND($Z442="Crédit",$N442=$N443),$Q443,IF(AND($Z442="Débit",$N442=$N441),$Q441)),IF(OR(AND(OR($E442&lt;&gt;"",$L442=""),$M442&lt;&gt;0),$A442=""),IFERROR(VLOOKUP($E442,Selection!$E:$F,2,false)),IFERROR(VLOOKUP(SUBSTITUTE($I442,"-","",1),$K443:$Q1119,7,false),VLOOKUP($K442,$K443:$Q1119,7,false))))</f>
        <v/>
      </c>
      <c r="R442" s="49" t="str">
        <f t="shared" si="2"/>
        <v/>
      </c>
      <c r="S442" s="51" t="str">
        <f t="shared" si="3"/>
        <v/>
      </c>
      <c r="T442" s="52" t="str">
        <f t="shared" si="4"/>
        <v/>
      </c>
      <c r="U442" s="46" t="str">
        <f t="shared" si="5"/>
        <v/>
      </c>
      <c r="V442" s="53" t="str">
        <f>IFERROR(__xludf.DUMMYFUNCTION(" IF(Account!$F442&lt;&gt;"""", SPLIT(Account!$F442, "" ""), """")"),"")</f>
        <v/>
      </c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</row>
    <row r="443">
      <c r="A443" s="11"/>
      <c r="B443" s="11"/>
      <c r="C443" s="11"/>
      <c r="D443" s="215"/>
      <c r="E443" s="215"/>
      <c r="F443" s="12"/>
      <c r="G443" s="11"/>
      <c r="H443" s="11"/>
      <c r="I443" s="11"/>
      <c r="J443" s="11"/>
      <c r="K443" s="11"/>
      <c r="L443" s="45" t="str">
        <f t="shared" si="1"/>
        <v/>
      </c>
      <c r="M443" s="46" t="str">
        <f>IFERROR(__xludf.DUMMYFUNCTION("IF(Account!$F443&lt;&gt;"""", VALUE(REGEXREPLACE($I443, ""\,"", ""."")), """")"),"")</f>
        <v/>
      </c>
      <c r="N443" s="47" t="str">
        <f>IF(Account!$F443&lt;&gt;"", DATEVALUE(MID($A443,4,3) &amp; LEFT($A443,3) &amp; RIGHT($A443,4)) + TIMEVALUE($B443), "")</f>
        <v/>
      </c>
      <c r="O443" s="48" t="str">
        <f>IF(Account!$F443&lt;&gt;"", DATEVALUE(MID($A443,4,3) &amp; LEFT($A443,3) &amp; RIGHT($A443,4)), "")</f>
        <v/>
      </c>
      <c r="P443" s="49" t="str">
        <f>IFERROR(VLOOKUP($Q443,Selection!$F:$G,2,false))</f>
        <v/>
      </c>
      <c r="Q443" s="50" t="str">
        <f>IF(AND($X443="change",$H443="EUR"),IF(AND($Z443="Crédit",$N443=$N444),$Q444,IF(AND($Z443="Débit",$N443=$N442),$Q442)),IF(OR(AND(OR($E443&lt;&gt;"",$L443=""),$M443&lt;&gt;0),$A443=""),IFERROR(VLOOKUP($E443,Selection!$E:$F,2,false)),IFERROR(VLOOKUP(SUBSTITUTE($I443,"-","",1),$K444:$Q1119,7,false),VLOOKUP($K443,$K444:$Q1119,7,false))))</f>
        <v/>
      </c>
      <c r="R443" s="49" t="str">
        <f t="shared" si="2"/>
        <v/>
      </c>
      <c r="S443" s="51" t="str">
        <f t="shared" si="3"/>
        <v/>
      </c>
      <c r="T443" s="52" t="str">
        <f t="shared" si="4"/>
        <v/>
      </c>
      <c r="U443" s="46" t="str">
        <f t="shared" si="5"/>
        <v/>
      </c>
      <c r="V443" s="53" t="str">
        <f>IFERROR(__xludf.DUMMYFUNCTION(" IF(Account!$F443&lt;&gt;"""", SPLIT(Account!$F443, "" ""), """")"),"")</f>
        <v/>
      </c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</row>
    <row r="444">
      <c r="A444" s="11"/>
      <c r="B444" s="11"/>
      <c r="C444" s="11"/>
      <c r="D444" s="215"/>
      <c r="E444" s="215"/>
      <c r="F444" s="12"/>
      <c r="G444" s="215"/>
      <c r="H444" s="11"/>
      <c r="I444" s="11"/>
      <c r="J444" s="11"/>
      <c r="K444" s="11"/>
      <c r="L444" s="45" t="str">
        <f t="shared" si="1"/>
        <v/>
      </c>
      <c r="M444" s="46" t="str">
        <f>IFERROR(__xludf.DUMMYFUNCTION("IF(Account!$F444&lt;&gt;"""", VALUE(REGEXREPLACE($I444, ""\,"", ""."")), """")"),"")</f>
        <v/>
      </c>
      <c r="N444" s="47" t="str">
        <f>IF(Account!$F444&lt;&gt;"", DATEVALUE(MID($A444,4,3) &amp; LEFT($A444,3) &amp; RIGHT($A444,4)) + TIMEVALUE($B444), "")</f>
        <v/>
      </c>
      <c r="O444" s="48" t="str">
        <f>IF(Account!$F444&lt;&gt;"", DATEVALUE(MID($A444,4,3) &amp; LEFT($A444,3) &amp; RIGHT($A444,4)), "")</f>
        <v/>
      </c>
      <c r="P444" s="49" t="str">
        <f>IFERROR(VLOOKUP($Q444,Selection!$F:$G,2,false))</f>
        <v/>
      </c>
      <c r="Q444" s="50" t="str">
        <f>IF(AND($X444="change",$H444="EUR"),IF(AND($Z444="Crédit",$N444=$N445),$Q445,IF(AND($Z444="Débit",$N444=$N443),$Q443)),IF(OR(AND(OR($E444&lt;&gt;"",$L444=""),$M444&lt;&gt;0),$A444=""),IFERROR(VLOOKUP($E444,Selection!$E:$F,2,false)),IFERROR(VLOOKUP(SUBSTITUTE($I444,"-","",1),$K445:$Q1119,7,false),VLOOKUP($K444,$K445:$Q1119,7,false))))</f>
        <v/>
      </c>
      <c r="R444" s="49" t="str">
        <f t="shared" si="2"/>
        <v/>
      </c>
      <c r="S444" s="51" t="str">
        <f t="shared" si="3"/>
        <v/>
      </c>
      <c r="T444" s="52" t="str">
        <f t="shared" si="4"/>
        <v/>
      </c>
      <c r="U444" s="46" t="str">
        <f t="shared" si="5"/>
        <v/>
      </c>
      <c r="V444" s="53" t="str">
        <f>IFERROR(__xludf.DUMMYFUNCTION(" IF(Account!$F444&lt;&gt;"""", SPLIT(Account!$F444, "" ""), """")"),"")</f>
        <v/>
      </c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</row>
    <row r="445">
      <c r="A445" s="11"/>
      <c r="B445" s="11"/>
      <c r="C445" s="11"/>
      <c r="D445" s="11"/>
      <c r="E445" s="11"/>
      <c r="F445" s="12"/>
      <c r="G445" s="215"/>
      <c r="H445" s="215"/>
      <c r="I445" s="215"/>
      <c r="J445" s="11"/>
      <c r="K445" s="11"/>
      <c r="L445" s="45" t="str">
        <f t="shared" si="1"/>
        <v/>
      </c>
      <c r="M445" s="46" t="str">
        <f>IFERROR(__xludf.DUMMYFUNCTION("IF(Account!$F445&lt;&gt;"""", VALUE(REGEXREPLACE($I445, ""\,"", ""."")), """")"),"")</f>
        <v/>
      </c>
      <c r="N445" s="47" t="str">
        <f>IF(Account!$F445&lt;&gt;"", DATEVALUE(MID($A445,4,3) &amp; LEFT($A445,3) &amp; RIGHT($A445,4)) + TIMEVALUE($B445), "")</f>
        <v/>
      </c>
      <c r="O445" s="48" t="str">
        <f>IF(Account!$F445&lt;&gt;"", DATEVALUE(MID($A445,4,3) &amp; LEFT($A445,3) &amp; RIGHT($A445,4)), "")</f>
        <v/>
      </c>
      <c r="P445" s="49" t="str">
        <f>IFERROR(VLOOKUP($Q445,Selection!$F:$G,2,false))</f>
        <v/>
      </c>
      <c r="Q445" s="50" t="str">
        <f>IF(AND($X445="change",$H445="EUR"),IF(AND($Z445="Crédit",$N445=$N446),$Q446,IF(AND($Z445="Débit",$N445=$N444),$Q444)),IF(OR(AND(OR($E445&lt;&gt;"",$L445=""),$M445&lt;&gt;0),$A445=""),IFERROR(VLOOKUP($E445,Selection!$E:$F,2,false)),IFERROR(VLOOKUP(SUBSTITUTE($I445,"-","",1),$K446:$Q1119,7,false),VLOOKUP($K445,$K446:$Q1119,7,false))))</f>
        <v/>
      </c>
      <c r="R445" s="49" t="str">
        <f t="shared" si="2"/>
        <v/>
      </c>
      <c r="S445" s="51" t="str">
        <f t="shared" si="3"/>
        <v/>
      </c>
      <c r="T445" s="52" t="str">
        <f t="shared" si="4"/>
        <v/>
      </c>
      <c r="U445" s="46" t="str">
        <f t="shared" si="5"/>
        <v/>
      </c>
      <c r="V445" s="53" t="str">
        <f>IFERROR(__xludf.DUMMYFUNCTION(" IF(Account!$F445&lt;&gt;"""", SPLIT(Account!$F445, "" ""), """")"),"")</f>
        <v/>
      </c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</row>
    <row r="446">
      <c r="A446" s="11"/>
      <c r="B446" s="11"/>
      <c r="C446" s="11"/>
      <c r="D446" s="11"/>
      <c r="E446" s="11"/>
      <c r="F446" s="12"/>
      <c r="G446" s="215"/>
      <c r="H446" s="11"/>
      <c r="I446" s="11"/>
      <c r="J446" s="11"/>
      <c r="K446" s="11"/>
      <c r="L446" s="45" t="str">
        <f t="shared" si="1"/>
        <v/>
      </c>
      <c r="M446" s="46" t="str">
        <f>IFERROR(__xludf.DUMMYFUNCTION("IF(Account!$F446&lt;&gt;"""", VALUE(REGEXREPLACE($I446, ""\,"", ""."")), """")"),"")</f>
        <v/>
      </c>
      <c r="N446" s="47" t="str">
        <f>IF(Account!$F446&lt;&gt;"", DATEVALUE(MID($A446,4,3) &amp; LEFT($A446,3) &amp; RIGHT($A446,4)) + TIMEVALUE($B446), "")</f>
        <v/>
      </c>
      <c r="O446" s="48" t="str">
        <f>IF(Account!$F446&lt;&gt;"", DATEVALUE(MID($A446,4,3) &amp; LEFT($A446,3) &amp; RIGHT($A446,4)), "")</f>
        <v/>
      </c>
      <c r="P446" s="49" t="str">
        <f>IFERROR(VLOOKUP($Q446,Selection!$F:$G,2,false))</f>
        <v/>
      </c>
      <c r="Q446" s="50" t="str">
        <f>IF(AND($X446="change",$H446="EUR"),IF(AND($Z446="Crédit",$N446=$N447),$Q447,IF(AND($Z446="Débit",$N446=$N445),$Q445)),IF(OR(AND(OR($E446&lt;&gt;"",$L446=""),$M446&lt;&gt;0),$A446=""),IFERROR(VLOOKUP($E446,Selection!$E:$F,2,false)),IFERROR(VLOOKUP(SUBSTITUTE($I446,"-","",1),$K447:$Q1119,7,false),VLOOKUP($K446,$K447:$Q1119,7,false))))</f>
        <v/>
      </c>
      <c r="R446" s="49" t="str">
        <f t="shared" si="2"/>
        <v/>
      </c>
      <c r="S446" s="51" t="str">
        <f t="shared" si="3"/>
        <v/>
      </c>
      <c r="T446" s="52" t="str">
        <f t="shared" si="4"/>
        <v/>
      </c>
      <c r="U446" s="46" t="str">
        <f t="shared" si="5"/>
        <v/>
      </c>
      <c r="V446" s="53" t="str">
        <f>IFERROR(__xludf.DUMMYFUNCTION(" IF(Account!$F446&lt;&gt;"""", SPLIT(Account!$F446, "" ""), """")"),"")</f>
        <v/>
      </c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</row>
    <row r="447">
      <c r="A447" s="11"/>
      <c r="B447" s="11"/>
      <c r="C447" s="11"/>
      <c r="D447" s="11"/>
      <c r="E447" s="11"/>
      <c r="F447" s="12"/>
      <c r="G447" s="215"/>
      <c r="H447" s="11"/>
      <c r="I447" s="11"/>
      <c r="J447" s="11"/>
      <c r="K447" s="11"/>
      <c r="L447" s="45" t="str">
        <f t="shared" si="1"/>
        <v/>
      </c>
      <c r="M447" s="46" t="str">
        <f>IFERROR(__xludf.DUMMYFUNCTION("IF(Account!$F447&lt;&gt;"""", VALUE(REGEXREPLACE($I447, ""\,"", ""."")), """")"),"")</f>
        <v/>
      </c>
      <c r="N447" s="47" t="str">
        <f>IF(Account!$F447&lt;&gt;"", DATEVALUE(MID($A447,4,3) &amp; LEFT($A447,3) &amp; RIGHT($A447,4)) + TIMEVALUE($B447), "")</f>
        <v/>
      </c>
      <c r="O447" s="48" t="str">
        <f>IF(Account!$F447&lt;&gt;"", DATEVALUE(MID($A447,4,3) &amp; LEFT($A447,3) &amp; RIGHT($A447,4)), "")</f>
        <v/>
      </c>
      <c r="P447" s="49" t="str">
        <f>IFERROR(VLOOKUP($Q447,Selection!$F:$G,2,false))</f>
        <v/>
      </c>
      <c r="Q447" s="50" t="str">
        <f>IF(AND($X447="change",$H447="EUR"),IF(AND($Z447="Crédit",$N447=$N448),$Q448,IF(AND($Z447="Débit",$N447=$N446),$Q446)),IF(OR(AND(OR($E447&lt;&gt;"",$L447=""),$M447&lt;&gt;0),$A447=""),IFERROR(VLOOKUP($E447,Selection!$E:$F,2,false)),IFERROR(VLOOKUP(SUBSTITUTE($I447,"-","",1),$K448:$Q1119,7,false),VLOOKUP($K447,$K448:$Q1119,7,false))))</f>
        <v/>
      </c>
      <c r="R447" s="49" t="str">
        <f t="shared" si="2"/>
        <v/>
      </c>
      <c r="S447" s="51" t="str">
        <f t="shared" si="3"/>
        <v/>
      </c>
      <c r="T447" s="52" t="str">
        <f t="shared" si="4"/>
        <v/>
      </c>
      <c r="U447" s="46" t="str">
        <f t="shared" si="5"/>
        <v/>
      </c>
      <c r="V447" s="53" t="str">
        <f>IFERROR(__xludf.DUMMYFUNCTION(" IF(Account!$F447&lt;&gt;"""", SPLIT(Account!$F447, "" ""), """")"),"")</f>
        <v/>
      </c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</row>
    <row r="448">
      <c r="A448" s="11"/>
      <c r="B448" s="11"/>
      <c r="C448" s="11"/>
      <c r="D448" s="11"/>
      <c r="E448" s="11"/>
      <c r="F448" s="12"/>
      <c r="G448" s="11"/>
      <c r="H448" s="11"/>
      <c r="I448" s="11"/>
      <c r="J448" s="11"/>
      <c r="K448" s="11"/>
      <c r="L448" s="45" t="str">
        <f t="shared" si="1"/>
        <v/>
      </c>
      <c r="M448" s="46" t="str">
        <f>IFERROR(__xludf.DUMMYFUNCTION("IF(Account!$F448&lt;&gt;"""", VALUE(REGEXREPLACE($I448, ""\,"", ""."")), """")"),"")</f>
        <v/>
      </c>
      <c r="N448" s="47" t="str">
        <f>IF(Account!$F448&lt;&gt;"", DATEVALUE(MID($A448,4,3) &amp; LEFT($A448,3) &amp; RIGHT($A448,4)) + TIMEVALUE($B448), "")</f>
        <v/>
      </c>
      <c r="O448" s="48" t="str">
        <f>IF(Account!$F448&lt;&gt;"", DATEVALUE(MID($A448,4,3) &amp; LEFT($A448,3) &amp; RIGHT($A448,4)), "")</f>
        <v/>
      </c>
      <c r="P448" s="49" t="str">
        <f>IFERROR(VLOOKUP($Q448,Selection!$F:$G,2,false))</f>
        <v/>
      </c>
      <c r="Q448" s="50" t="str">
        <f>IF(AND($X448="change",$H448="EUR"),IF(AND($Z448="Crédit",$N448=$N449),$Q449,IF(AND($Z448="Débit",$N448=$N447),$Q447)),IF(OR(AND(OR($E448&lt;&gt;"",$L448=""),$M448&lt;&gt;0),$A448=""),IFERROR(VLOOKUP($E448,Selection!$E:$F,2,false)),IFERROR(VLOOKUP(SUBSTITUTE($I448,"-","",1),$K449:$Q1119,7,false),VLOOKUP($K448,$K449:$Q1119,7,false))))</f>
        <v/>
      </c>
      <c r="R448" s="49" t="str">
        <f t="shared" si="2"/>
        <v/>
      </c>
      <c r="S448" s="51" t="str">
        <f t="shared" si="3"/>
        <v/>
      </c>
      <c r="T448" s="52" t="str">
        <f t="shared" si="4"/>
        <v/>
      </c>
      <c r="U448" s="46" t="str">
        <f t="shared" si="5"/>
        <v/>
      </c>
      <c r="V448" s="53" t="str">
        <f>IFERROR(__xludf.DUMMYFUNCTION(" IF(Account!$F448&lt;&gt;"""", SPLIT(Account!$F448, "" ""), """")"),"")</f>
        <v/>
      </c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</row>
    <row r="449">
      <c r="A449" s="11"/>
      <c r="B449" s="11"/>
      <c r="C449" s="11"/>
      <c r="D449" s="11"/>
      <c r="E449" s="11"/>
      <c r="F449" s="12"/>
      <c r="G449" s="215"/>
      <c r="H449" s="11"/>
      <c r="I449" s="11"/>
      <c r="J449" s="11"/>
      <c r="K449" s="11"/>
      <c r="L449" s="45" t="str">
        <f t="shared" si="1"/>
        <v/>
      </c>
      <c r="M449" s="46" t="str">
        <f>IFERROR(__xludf.DUMMYFUNCTION("IF(Account!$F449&lt;&gt;"""", VALUE(REGEXREPLACE($I449, ""\,"", ""."")), """")"),"")</f>
        <v/>
      </c>
      <c r="N449" s="47" t="str">
        <f>IF(Account!$F449&lt;&gt;"", DATEVALUE(MID($A449,4,3) &amp; LEFT($A449,3) &amp; RIGHT($A449,4)) + TIMEVALUE($B449), "")</f>
        <v/>
      </c>
      <c r="O449" s="48" t="str">
        <f>IF(Account!$F449&lt;&gt;"", DATEVALUE(MID($A449,4,3) &amp; LEFT($A449,3) &amp; RIGHT($A449,4)), "")</f>
        <v/>
      </c>
      <c r="P449" s="49" t="str">
        <f>IFERROR(VLOOKUP($Q449,Selection!$F:$G,2,false))</f>
        <v/>
      </c>
      <c r="Q449" s="50" t="str">
        <f>IF(AND($X449="change",$H449="EUR"),IF(AND($Z449="Crédit",$N449=$N450),$Q450,IF(AND($Z449="Débit",$N449=$N448),$Q448)),IF(OR(AND(OR($E449&lt;&gt;"",$L449=""),$M449&lt;&gt;0),$A449=""),IFERROR(VLOOKUP($E449,Selection!$E:$F,2,false)),IFERROR(VLOOKUP(SUBSTITUTE($I449,"-","",1),$K450:$Q1119,7,false),VLOOKUP($K449,$K450:$Q1119,7,false))))</f>
        <v/>
      </c>
      <c r="R449" s="49" t="str">
        <f t="shared" si="2"/>
        <v/>
      </c>
      <c r="S449" s="51" t="str">
        <f t="shared" si="3"/>
        <v/>
      </c>
      <c r="T449" s="52" t="str">
        <f t="shared" si="4"/>
        <v/>
      </c>
      <c r="U449" s="46" t="str">
        <f t="shared" si="5"/>
        <v/>
      </c>
      <c r="V449" s="53" t="str">
        <f>IFERROR(__xludf.DUMMYFUNCTION(" IF(Account!$F449&lt;&gt;"""", SPLIT(Account!$F449, "" ""), """")"),"")</f>
        <v/>
      </c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</row>
    <row r="450">
      <c r="A450" s="11"/>
      <c r="B450" s="11"/>
      <c r="C450" s="11"/>
      <c r="D450" s="11"/>
      <c r="E450" s="11"/>
      <c r="F450" s="12"/>
      <c r="G450" s="11"/>
      <c r="H450" s="11"/>
      <c r="I450" s="11"/>
      <c r="J450" s="11"/>
      <c r="K450" s="11"/>
      <c r="L450" s="45" t="str">
        <f t="shared" si="1"/>
        <v/>
      </c>
      <c r="M450" s="46" t="str">
        <f>IFERROR(__xludf.DUMMYFUNCTION("IF(Account!$F450&lt;&gt;"""", VALUE(REGEXREPLACE($I450, ""\,"", ""."")), """")"),"")</f>
        <v/>
      </c>
      <c r="N450" s="47" t="str">
        <f>IF(Account!$F450&lt;&gt;"", DATEVALUE(MID($A450,4,3) &amp; LEFT($A450,3) &amp; RIGHT($A450,4)) + TIMEVALUE($B450), "")</f>
        <v/>
      </c>
      <c r="O450" s="48" t="str">
        <f>IF(Account!$F450&lt;&gt;"", DATEVALUE(MID($A450,4,3) &amp; LEFT($A450,3) &amp; RIGHT($A450,4)), "")</f>
        <v/>
      </c>
      <c r="P450" s="49" t="str">
        <f>IFERROR(VLOOKUP($Q450,Selection!$F:$G,2,false))</f>
        <v/>
      </c>
      <c r="Q450" s="50" t="str">
        <f>IF(AND($X450="change",$H450="EUR"),IF(AND($Z450="Crédit",$N450=$N451),$Q451,IF(AND($Z450="Débit",$N450=$N449),$Q449)),IF(OR(AND(OR($E450&lt;&gt;"",$L450=""),$M450&lt;&gt;0),$A450=""),IFERROR(VLOOKUP($E450,Selection!$E:$F,2,false)),IFERROR(VLOOKUP(SUBSTITUTE($I450,"-","",1),$K451:$Q1119,7,false),VLOOKUP($K450,$K451:$Q1119,7,false))))</f>
        <v/>
      </c>
      <c r="R450" s="49" t="str">
        <f t="shared" si="2"/>
        <v/>
      </c>
      <c r="S450" s="51" t="str">
        <f t="shared" si="3"/>
        <v/>
      </c>
      <c r="T450" s="52" t="str">
        <f t="shared" si="4"/>
        <v/>
      </c>
      <c r="U450" s="46" t="str">
        <f t="shared" si="5"/>
        <v/>
      </c>
      <c r="V450" s="53" t="str">
        <f>IFERROR(__xludf.DUMMYFUNCTION(" IF(Account!$F450&lt;&gt;"""", SPLIT(Account!$F450, "" ""), """")"),"")</f>
        <v/>
      </c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</row>
    <row r="451">
      <c r="A451" s="11"/>
      <c r="B451" s="11"/>
      <c r="C451" s="11"/>
      <c r="D451" s="11"/>
      <c r="E451" s="11"/>
      <c r="F451" s="12"/>
      <c r="G451" s="215"/>
      <c r="H451" s="11"/>
      <c r="I451" s="11"/>
      <c r="J451" s="11"/>
      <c r="K451" s="11"/>
      <c r="L451" s="45" t="str">
        <f t="shared" si="1"/>
        <v/>
      </c>
      <c r="M451" s="46" t="str">
        <f>IFERROR(__xludf.DUMMYFUNCTION("IF(Account!$F451&lt;&gt;"""", VALUE(REGEXREPLACE($I451, ""\,"", ""."")), """")"),"")</f>
        <v/>
      </c>
      <c r="N451" s="47" t="str">
        <f>IF(Account!$F451&lt;&gt;"", DATEVALUE(MID($A451,4,3) &amp; LEFT($A451,3) &amp; RIGHT($A451,4)) + TIMEVALUE($B451), "")</f>
        <v/>
      </c>
      <c r="O451" s="48" t="str">
        <f>IF(Account!$F451&lt;&gt;"", DATEVALUE(MID($A451,4,3) &amp; LEFT($A451,3) &amp; RIGHT($A451,4)), "")</f>
        <v/>
      </c>
      <c r="P451" s="49" t="str">
        <f>IFERROR(VLOOKUP($Q451,Selection!$F:$G,2,false))</f>
        <v/>
      </c>
      <c r="Q451" s="50" t="str">
        <f>IF(AND($X451="change",$H451="EUR"),IF(AND($Z451="Crédit",$N451=$N452),$Q452,IF(AND($Z451="Débit",$N451=$N450),$Q450)),IF(OR(AND(OR($E451&lt;&gt;"",$L451=""),$M451&lt;&gt;0),$A451=""),IFERROR(VLOOKUP($E451,Selection!$E:$F,2,false)),IFERROR(VLOOKUP(SUBSTITUTE($I451,"-","",1),$K452:$Q1119,7,false),VLOOKUP($K451,$K452:$Q1119,7,false))))</f>
        <v/>
      </c>
      <c r="R451" s="49" t="str">
        <f t="shared" si="2"/>
        <v/>
      </c>
      <c r="S451" s="51" t="str">
        <f t="shared" si="3"/>
        <v/>
      </c>
      <c r="T451" s="52" t="str">
        <f t="shared" si="4"/>
        <v/>
      </c>
      <c r="U451" s="46" t="str">
        <f t="shared" si="5"/>
        <v/>
      </c>
      <c r="V451" s="53" t="str">
        <f>IFERROR(__xludf.DUMMYFUNCTION(" IF(Account!$F451&lt;&gt;"""", SPLIT(Account!$F451, "" ""), """")"),"")</f>
        <v/>
      </c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</row>
    <row r="452">
      <c r="A452" s="11"/>
      <c r="B452" s="11"/>
      <c r="C452" s="11"/>
      <c r="D452" s="11"/>
      <c r="E452" s="11"/>
      <c r="F452" s="12"/>
      <c r="G452" s="11"/>
      <c r="H452" s="11"/>
      <c r="I452" s="11"/>
      <c r="J452" s="11"/>
      <c r="K452" s="11"/>
      <c r="L452" s="45" t="str">
        <f t="shared" si="1"/>
        <v/>
      </c>
      <c r="M452" s="46" t="str">
        <f>IFERROR(__xludf.DUMMYFUNCTION("IF(Account!$F452&lt;&gt;"""", VALUE(REGEXREPLACE($I452, ""\,"", ""."")), """")"),"")</f>
        <v/>
      </c>
      <c r="N452" s="47" t="str">
        <f>IF(Account!$F452&lt;&gt;"", DATEVALUE(MID($A452,4,3) &amp; LEFT($A452,3) &amp; RIGHT($A452,4)) + TIMEVALUE($B452), "")</f>
        <v/>
      </c>
      <c r="O452" s="48" t="str">
        <f>IF(Account!$F452&lt;&gt;"", DATEVALUE(MID($A452,4,3) &amp; LEFT($A452,3) &amp; RIGHT($A452,4)), "")</f>
        <v/>
      </c>
      <c r="P452" s="49" t="str">
        <f>IFERROR(VLOOKUP($Q452,Selection!$F:$G,2,false))</f>
        <v/>
      </c>
      <c r="Q452" s="50" t="str">
        <f>IF(AND($X452="change",$H452="EUR"),IF(AND($Z452="Crédit",$N452=$N453),$Q453,IF(AND($Z452="Débit",$N452=$N451),$Q451)),IF(OR(AND(OR($E452&lt;&gt;"",$L452=""),$M452&lt;&gt;0),$A452=""),IFERROR(VLOOKUP($E452,Selection!$E:$F,2,false)),IFERROR(VLOOKUP(SUBSTITUTE($I452,"-","",1),$K453:$Q1119,7,false),VLOOKUP($K452,$K453:$Q1119,7,false))))</f>
        <v/>
      </c>
      <c r="R452" s="49" t="str">
        <f t="shared" si="2"/>
        <v/>
      </c>
      <c r="S452" s="51" t="str">
        <f t="shared" si="3"/>
        <v/>
      </c>
      <c r="T452" s="52" t="str">
        <f t="shared" si="4"/>
        <v/>
      </c>
      <c r="U452" s="46" t="str">
        <f t="shared" si="5"/>
        <v/>
      </c>
      <c r="V452" s="53" t="str">
        <f>IFERROR(__xludf.DUMMYFUNCTION(" IF(Account!$F452&lt;&gt;"""", SPLIT(Account!$F452, "" ""), """")"),"")</f>
        <v/>
      </c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</row>
    <row r="453">
      <c r="A453" s="11"/>
      <c r="B453" s="11"/>
      <c r="C453" s="11"/>
      <c r="D453" s="11"/>
      <c r="E453" s="11"/>
      <c r="F453" s="12"/>
      <c r="G453" s="215"/>
      <c r="H453" s="11"/>
      <c r="I453" s="11"/>
      <c r="J453" s="11"/>
      <c r="K453" s="11"/>
      <c r="L453" s="45" t="str">
        <f t="shared" si="1"/>
        <v/>
      </c>
      <c r="M453" s="46" t="str">
        <f>IFERROR(__xludf.DUMMYFUNCTION("IF(Account!$F453&lt;&gt;"""", VALUE(REGEXREPLACE($I453, ""\,"", ""."")), """")"),"")</f>
        <v/>
      </c>
      <c r="N453" s="47" t="str">
        <f>IF(Account!$F453&lt;&gt;"", DATEVALUE(MID($A453,4,3) &amp; LEFT($A453,3) &amp; RIGHT($A453,4)) + TIMEVALUE($B453), "")</f>
        <v/>
      </c>
      <c r="O453" s="48" t="str">
        <f>IF(Account!$F453&lt;&gt;"", DATEVALUE(MID($A453,4,3) &amp; LEFT($A453,3) &amp; RIGHT($A453,4)), "")</f>
        <v/>
      </c>
      <c r="P453" s="49" t="str">
        <f>IFERROR(VLOOKUP($Q453,Selection!$F:$G,2,false))</f>
        <v/>
      </c>
      <c r="Q453" s="50" t="str">
        <f>IF(AND($X453="change",$H453="EUR"),IF(AND($Z453="Crédit",$N453=$N454),$Q454,IF(AND($Z453="Débit",$N453=$N452),$Q452)),IF(OR(AND(OR($E453&lt;&gt;"",$L453=""),$M453&lt;&gt;0),$A453=""),IFERROR(VLOOKUP($E453,Selection!$E:$F,2,false)),IFERROR(VLOOKUP(SUBSTITUTE($I453,"-","",1),$K454:$Q1119,7,false),VLOOKUP($K453,$K454:$Q1119,7,false))))</f>
        <v/>
      </c>
      <c r="R453" s="49" t="str">
        <f t="shared" si="2"/>
        <v/>
      </c>
      <c r="S453" s="51" t="str">
        <f t="shared" si="3"/>
        <v/>
      </c>
      <c r="T453" s="52" t="str">
        <f t="shared" si="4"/>
        <v/>
      </c>
      <c r="U453" s="46" t="str">
        <f t="shared" si="5"/>
        <v/>
      </c>
      <c r="V453" s="53" t="str">
        <f>IFERROR(__xludf.DUMMYFUNCTION(" IF(Account!$F453&lt;&gt;"""", SPLIT(Account!$F453, "" ""), """")"),"")</f>
        <v/>
      </c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</row>
    <row r="454">
      <c r="A454" s="11"/>
      <c r="B454" s="11"/>
      <c r="C454" s="11"/>
      <c r="D454" s="11"/>
      <c r="E454" s="11"/>
      <c r="F454" s="12"/>
      <c r="G454" s="215"/>
      <c r="H454" s="11"/>
      <c r="I454" s="11"/>
      <c r="J454" s="11"/>
      <c r="K454" s="11"/>
      <c r="L454" s="45" t="str">
        <f t="shared" si="1"/>
        <v/>
      </c>
      <c r="M454" s="46" t="str">
        <f>IFERROR(__xludf.DUMMYFUNCTION("IF(Account!$F454&lt;&gt;"""", VALUE(REGEXREPLACE($I454, ""\,"", ""."")), """")"),"")</f>
        <v/>
      </c>
      <c r="N454" s="47" t="str">
        <f>IF(Account!$F454&lt;&gt;"", DATEVALUE(MID($A454,4,3) &amp; LEFT($A454,3) &amp; RIGHT($A454,4)) + TIMEVALUE($B454), "")</f>
        <v/>
      </c>
      <c r="O454" s="48" t="str">
        <f>IF(Account!$F454&lt;&gt;"", DATEVALUE(MID($A454,4,3) &amp; LEFT($A454,3) &amp; RIGHT($A454,4)), "")</f>
        <v/>
      </c>
      <c r="P454" s="49" t="str">
        <f>IFERROR(VLOOKUP($Q454,Selection!$F:$G,2,false))</f>
        <v/>
      </c>
      <c r="Q454" s="50" t="str">
        <f>IF(AND($X454="change",$H454="EUR"),IF(AND($Z454="Crédit",$N454=$N455),$Q455,IF(AND($Z454="Débit",$N454=$N453),$Q453)),IF(OR(AND(OR($E454&lt;&gt;"",$L454=""),$M454&lt;&gt;0),$A454=""),IFERROR(VLOOKUP($E454,Selection!$E:$F,2,false)),IFERROR(VLOOKUP(SUBSTITUTE($I454,"-","",1),$K455:$Q1119,7,false),VLOOKUP($K454,$K455:$Q1119,7,false))))</f>
        <v/>
      </c>
      <c r="R454" s="49" t="str">
        <f t="shared" si="2"/>
        <v/>
      </c>
      <c r="S454" s="51" t="str">
        <f t="shared" si="3"/>
        <v/>
      </c>
      <c r="T454" s="52" t="str">
        <f t="shared" si="4"/>
        <v/>
      </c>
      <c r="U454" s="46" t="str">
        <f t="shared" si="5"/>
        <v/>
      </c>
      <c r="V454" s="53" t="str">
        <f>IFERROR(__xludf.DUMMYFUNCTION(" IF(Account!$F454&lt;&gt;"""", SPLIT(Account!$F454, "" ""), """")"),"")</f>
        <v/>
      </c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</row>
    <row r="455">
      <c r="A455" s="11"/>
      <c r="B455" s="11"/>
      <c r="C455" s="11"/>
      <c r="D455" s="11"/>
      <c r="E455" s="11"/>
      <c r="F455" s="12"/>
      <c r="G455" s="215"/>
      <c r="H455" s="11"/>
      <c r="I455" s="11"/>
      <c r="J455" s="11"/>
      <c r="K455" s="11"/>
      <c r="L455" s="45" t="str">
        <f t="shared" si="1"/>
        <v/>
      </c>
      <c r="M455" s="46" t="str">
        <f>IFERROR(__xludf.DUMMYFUNCTION("IF(Account!$F455&lt;&gt;"""", VALUE(REGEXREPLACE($I455, ""\,"", ""."")), """")"),"")</f>
        <v/>
      </c>
      <c r="N455" s="47" t="str">
        <f>IF(Account!$F455&lt;&gt;"", DATEVALUE(MID($A455,4,3) &amp; LEFT($A455,3) &amp; RIGHT($A455,4)) + TIMEVALUE($B455), "")</f>
        <v/>
      </c>
      <c r="O455" s="48" t="str">
        <f>IF(Account!$F455&lt;&gt;"", DATEVALUE(MID($A455,4,3) &amp; LEFT($A455,3) &amp; RIGHT($A455,4)), "")</f>
        <v/>
      </c>
      <c r="P455" s="49" t="str">
        <f>IFERROR(VLOOKUP($Q455,Selection!$F:$G,2,false))</f>
        <v/>
      </c>
      <c r="Q455" s="50" t="str">
        <f>IF(AND($X455="change",$H455="EUR"),IF(AND($Z455="Crédit",$N455=$N456),$Q456,IF(AND($Z455="Débit",$N455=$N454),$Q454)),IF(OR(AND(OR($E455&lt;&gt;"",$L455=""),$M455&lt;&gt;0),$A455=""),IFERROR(VLOOKUP($E455,Selection!$E:$F,2,false)),IFERROR(VLOOKUP(SUBSTITUTE($I455,"-","",1),$K456:$Q1119,7,false),VLOOKUP($K455,$K456:$Q1119,7,false))))</f>
        <v/>
      </c>
      <c r="R455" s="49" t="str">
        <f t="shared" si="2"/>
        <v/>
      </c>
      <c r="S455" s="51" t="str">
        <f t="shared" si="3"/>
        <v/>
      </c>
      <c r="T455" s="52" t="str">
        <f t="shared" si="4"/>
        <v/>
      </c>
      <c r="U455" s="46" t="str">
        <f t="shared" si="5"/>
        <v/>
      </c>
      <c r="V455" s="53" t="str">
        <f>IFERROR(__xludf.DUMMYFUNCTION(" IF(Account!$F455&lt;&gt;"""", SPLIT(Account!$F455, "" ""), """")"),"")</f>
        <v/>
      </c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</row>
    <row r="456">
      <c r="A456" s="11"/>
      <c r="B456" s="11"/>
      <c r="C456" s="11"/>
      <c r="D456" s="11"/>
      <c r="E456" s="11"/>
      <c r="F456" s="12"/>
      <c r="G456" s="215"/>
      <c r="H456" s="11"/>
      <c r="I456" s="11"/>
      <c r="J456" s="11"/>
      <c r="K456" s="11"/>
      <c r="L456" s="45" t="str">
        <f t="shared" si="1"/>
        <v/>
      </c>
      <c r="M456" s="46" t="str">
        <f>IFERROR(__xludf.DUMMYFUNCTION("IF(Account!$F456&lt;&gt;"""", VALUE(REGEXREPLACE($I456, ""\,"", ""."")), """")"),"")</f>
        <v/>
      </c>
      <c r="N456" s="47" t="str">
        <f>IF(Account!$F456&lt;&gt;"", DATEVALUE(MID($A456,4,3) &amp; LEFT($A456,3) &amp; RIGHT($A456,4)) + TIMEVALUE($B456), "")</f>
        <v/>
      </c>
      <c r="O456" s="48" t="str">
        <f>IF(Account!$F456&lt;&gt;"", DATEVALUE(MID($A456,4,3) &amp; LEFT($A456,3) &amp; RIGHT($A456,4)), "")</f>
        <v/>
      </c>
      <c r="P456" s="49" t="str">
        <f>IFERROR(VLOOKUP($Q456,Selection!$F:$G,2,false))</f>
        <v/>
      </c>
      <c r="Q456" s="50" t="str">
        <f>IF(AND($X456="change",$H456="EUR"),IF(AND($Z456="Crédit",$N456=$N457),$Q457,IF(AND($Z456="Débit",$N456=$N455),$Q455)),IF(OR(AND(OR($E456&lt;&gt;"",$L456=""),$M456&lt;&gt;0),$A456=""),IFERROR(VLOOKUP($E456,Selection!$E:$F,2,false)),IFERROR(VLOOKUP(SUBSTITUTE($I456,"-","",1),$K457:$Q1119,7,false),VLOOKUP($K456,$K457:$Q1119,7,false))))</f>
        <v/>
      </c>
      <c r="R456" s="49" t="str">
        <f t="shared" si="2"/>
        <v/>
      </c>
      <c r="S456" s="51" t="str">
        <f t="shared" si="3"/>
        <v/>
      </c>
      <c r="T456" s="52" t="str">
        <f t="shared" si="4"/>
        <v/>
      </c>
      <c r="U456" s="46" t="str">
        <f t="shared" si="5"/>
        <v/>
      </c>
      <c r="V456" s="53" t="str">
        <f>IFERROR(__xludf.DUMMYFUNCTION(" IF(Account!$F456&lt;&gt;"""", SPLIT(Account!$F456, "" ""), """")"),"")</f>
        <v/>
      </c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</row>
    <row r="457">
      <c r="A457" s="11"/>
      <c r="B457" s="11"/>
      <c r="C457" s="11"/>
      <c r="D457" s="11"/>
      <c r="E457" s="11"/>
      <c r="F457" s="12"/>
      <c r="G457" s="11"/>
      <c r="H457" s="11"/>
      <c r="I457" s="11"/>
      <c r="J457" s="11"/>
      <c r="K457" s="11"/>
      <c r="L457" s="45" t="str">
        <f t="shared" si="1"/>
        <v/>
      </c>
      <c r="M457" s="46" t="str">
        <f>IFERROR(__xludf.DUMMYFUNCTION("IF(Account!$F457&lt;&gt;"""", VALUE(REGEXREPLACE($I457, ""\,"", ""."")), """")"),"")</f>
        <v/>
      </c>
      <c r="N457" s="47" t="str">
        <f>IF(Account!$F457&lt;&gt;"", DATEVALUE(MID($A457,4,3) &amp; LEFT($A457,3) &amp; RIGHT($A457,4)) + TIMEVALUE($B457), "")</f>
        <v/>
      </c>
      <c r="O457" s="48" t="str">
        <f>IF(Account!$F457&lt;&gt;"", DATEVALUE(MID($A457,4,3) &amp; LEFT($A457,3) &amp; RIGHT($A457,4)), "")</f>
        <v/>
      </c>
      <c r="P457" s="49" t="str">
        <f>IFERROR(VLOOKUP($Q457,Selection!$F:$G,2,false))</f>
        <v/>
      </c>
      <c r="Q457" s="50" t="str">
        <f>IF(AND($X457="change",$H457="EUR"),IF(AND($Z457="Crédit",$N457=$N458),$Q458,IF(AND($Z457="Débit",$N457=$N456),$Q456)),IF(OR(AND(OR($E457&lt;&gt;"",$L457=""),$M457&lt;&gt;0),$A457=""),IFERROR(VLOOKUP($E457,Selection!$E:$F,2,false)),IFERROR(VLOOKUP(SUBSTITUTE($I457,"-","",1),$K458:$Q1119,7,false),VLOOKUP($K457,$K458:$Q1119,7,false))))</f>
        <v/>
      </c>
      <c r="R457" s="49" t="str">
        <f t="shared" si="2"/>
        <v/>
      </c>
      <c r="S457" s="51" t="str">
        <f t="shared" si="3"/>
        <v/>
      </c>
      <c r="T457" s="52" t="str">
        <f t="shared" si="4"/>
        <v/>
      </c>
      <c r="U457" s="46" t="str">
        <f t="shared" si="5"/>
        <v/>
      </c>
      <c r="V457" s="53" t="str">
        <f>IFERROR(__xludf.DUMMYFUNCTION(" IF(Account!$F457&lt;&gt;"""", SPLIT(Account!$F457, "" ""), """")"),"")</f>
        <v/>
      </c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</row>
    <row r="458">
      <c r="A458" s="11"/>
      <c r="B458" s="11"/>
      <c r="C458" s="11"/>
      <c r="D458" s="11"/>
      <c r="E458" s="11"/>
      <c r="F458" s="12"/>
      <c r="G458" s="215"/>
      <c r="H458" s="11"/>
      <c r="I458" s="11"/>
      <c r="J458" s="11"/>
      <c r="K458" s="11"/>
      <c r="L458" s="45" t="str">
        <f t="shared" si="1"/>
        <v/>
      </c>
      <c r="M458" s="46" t="str">
        <f>IFERROR(__xludf.DUMMYFUNCTION("IF(Account!$F458&lt;&gt;"""", VALUE(REGEXREPLACE($I458, ""\,"", ""."")), """")"),"")</f>
        <v/>
      </c>
      <c r="N458" s="47" t="str">
        <f>IF(Account!$F458&lt;&gt;"", DATEVALUE(MID($A458,4,3) &amp; LEFT($A458,3) &amp; RIGHT($A458,4)) + TIMEVALUE($B458), "")</f>
        <v/>
      </c>
      <c r="O458" s="48" t="str">
        <f>IF(Account!$F458&lt;&gt;"", DATEVALUE(MID($A458,4,3) &amp; LEFT($A458,3) &amp; RIGHT($A458,4)), "")</f>
        <v/>
      </c>
      <c r="P458" s="49" t="str">
        <f>IFERROR(VLOOKUP($Q458,Selection!$F:$G,2,false))</f>
        <v/>
      </c>
      <c r="Q458" s="50" t="str">
        <f>IF(AND($X458="change",$H458="EUR"),IF(AND($Z458="Crédit",$N458=$N459),$Q459,IF(AND($Z458="Débit",$N458=$N457),$Q457)),IF(OR(AND(OR($E458&lt;&gt;"",$L458=""),$M458&lt;&gt;0),$A458=""),IFERROR(VLOOKUP($E458,Selection!$E:$F,2,false)),IFERROR(VLOOKUP(SUBSTITUTE($I458,"-","",1),$K459:$Q1119,7,false),VLOOKUP($K458,$K459:$Q1119,7,false))))</f>
        <v/>
      </c>
      <c r="R458" s="49" t="str">
        <f t="shared" si="2"/>
        <v/>
      </c>
      <c r="S458" s="51" t="str">
        <f t="shared" si="3"/>
        <v/>
      </c>
      <c r="T458" s="52" t="str">
        <f t="shared" si="4"/>
        <v/>
      </c>
      <c r="U458" s="46" t="str">
        <f t="shared" si="5"/>
        <v/>
      </c>
      <c r="V458" s="53" t="str">
        <f>IFERROR(__xludf.DUMMYFUNCTION(" IF(Account!$F458&lt;&gt;"""", SPLIT(Account!$F458, "" ""), """")"),"")</f>
        <v/>
      </c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</row>
    <row r="459">
      <c r="A459" s="11"/>
      <c r="B459" s="11"/>
      <c r="C459" s="11"/>
      <c r="D459" s="11"/>
      <c r="E459" s="11"/>
      <c r="F459" s="12"/>
      <c r="G459" s="11"/>
      <c r="H459" s="11"/>
      <c r="I459" s="11"/>
      <c r="J459" s="11"/>
      <c r="K459" s="11"/>
      <c r="L459" s="45" t="str">
        <f t="shared" si="1"/>
        <v/>
      </c>
      <c r="M459" s="46" t="str">
        <f>IFERROR(__xludf.DUMMYFUNCTION("IF(Account!$F459&lt;&gt;"""", VALUE(REGEXREPLACE($I459, ""\,"", ""."")), """")"),"")</f>
        <v/>
      </c>
      <c r="N459" s="47" t="str">
        <f>IF(Account!$F459&lt;&gt;"", DATEVALUE(MID($A459,4,3) &amp; LEFT($A459,3) &amp; RIGHT($A459,4)) + TIMEVALUE($B459), "")</f>
        <v/>
      </c>
      <c r="O459" s="48" t="str">
        <f>IF(Account!$F459&lt;&gt;"", DATEVALUE(MID($A459,4,3) &amp; LEFT($A459,3) &amp; RIGHT($A459,4)), "")</f>
        <v/>
      </c>
      <c r="P459" s="49" t="str">
        <f>IFERROR(VLOOKUP($Q459,Selection!$F:$G,2,false))</f>
        <v/>
      </c>
      <c r="Q459" s="50" t="str">
        <f>IF(AND($X459="change",$H459="EUR"),IF(AND($Z459="Crédit",$N459=$N460),$Q460,IF(AND($Z459="Débit",$N459=$N458),$Q458)),IF(OR(AND(OR($E459&lt;&gt;"",$L459=""),$M459&lt;&gt;0),$A459=""),IFERROR(VLOOKUP($E459,Selection!$E:$F,2,false)),IFERROR(VLOOKUP(SUBSTITUTE($I459,"-","",1),$K460:$Q1119,7,false),VLOOKUP($K459,$K460:$Q1119,7,false))))</f>
        <v/>
      </c>
      <c r="R459" s="49" t="str">
        <f t="shared" si="2"/>
        <v/>
      </c>
      <c r="S459" s="51" t="str">
        <f t="shared" si="3"/>
        <v/>
      </c>
      <c r="T459" s="52" t="str">
        <f t="shared" si="4"/>
        <v/>
      </c>
      <c r="U459" s="46" t="str">
        <f t="shared" si="5"/>
        <v/>
      </c>
      <c r="V459" s="53" t="str">
        <f>IFERROR(__xludf.DUMMYFUNCTION(" IF(Account!$F459&lt;&gt;"""", SPLIT(Account!$F459, "" ""), """")"),"")</f>
        <v/>
      </c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</row>
    <row r="460">
      <c r="A460" s="11"/>
      <c r="B460" s="11"/>
      <c r="C460" s="11"/>
      <c r="D460" s="11"/>
      <c r="E460" s="11"/>
      <c r="F460" s="12"/>
      <c r="G460" s="215"/>
      <c r="H460" s="11"/>
      <c r="I460" s="11"/>
      <c r="J460" s="11"/>
      <c r="K460" s="11"/>
      <c r="L460" s="45" t="str">
        <f t="shared" si="1"/>
        <v/>
      </c>
      <c r="M460" s="46" t="str">
        <f>IFERROR(__xludf.DUMMYFUNCTION("IF(Account!$F460&lt;&gt;"""", VALUE(REGEXREPLACE($I460, ""\,"", ""."")), """")"),"")</f>
        <v/>
      </c>
      <c r="N460" s="47" t="str">
        <f>IF(Account!$F460&lt;&gt;"", DATEVALUE(MID($A460,4,3) &amp; LEFT($A460,3) &amp; RIGHT($A460,4)) + TIMEVALUE($B460), "")</f>
        <v/>
      </c>
      <c r="O460" s="48" t="str">
        <f>IF(Account!$F460&lt;&gt;"", DATEVALUE(MID($A460,4,3) &amp; LEFT($A460,3) &amp; RIGHT($A460,4)), "")</f>
        <v/>
      </c>
      <c r="P460" s="49" t="str">
        <f>IFERROR(VLOOKUP($Q460,Selection!$F:$G,2,false))</f>
        <v/>
      </c>
      <c r="Q460" s="50" t="str">
        <f>IF(AND($X460="change",$H460="EUR"),IF(AND($Z460="Crédit",$N460=$N461),$Q461,IF(AND($Z460="Débit",$N460=$N459),$Q459)),IF(OR(AND(OR($E460&lt;&gt;"",$L460=""),$M460&lt;&gt;0),$A460=""),IFERROR(VLOOKUP($E460,Selection!$E:$F,2,false)),IFERROR(VLOOKUP(SUBSTITUTE($I460,"-","",1),$K461:$Q1119,7,false),VLOOKUP($K460,$K461:$Q1119,7,false))))</f>
        <v/>
      </c>
      <c r="R460" s="49" t="str">
        <f t="shared" si="2"/>
        <v/>
      </c>
      <c r="S460" s="51" t="str">
        <f t="shared" si="3"/>
        <v/>
      </c>
      <c r="T460" s="52" t="str">
        <f t="shared" si="4"/>
        <v/>
      </c>
      <c r="U460" s="46" t="str">
        <f t="shared" si="5"/>
        <v/>
      </c>
      <c r="V460" s="53" t="str">
        <f>IFERROR(__xludf.DUMMYFUNCTION(" IF(Account!$F460&lt;&gt;"""", SPLIT(Account!$F460, "" ""), """")"),"")</f>
        <v/>
      </c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</row>
    <row r="461">
      <c r="A461" s="11"/>
      <c r="B461" s="11"/>
      <c r="C461" s="11"/>
      <c r="D461" s="11"/>
      <c r="E461" s="11"/>
      <c r="F461" s="12"/>
      <c r="G461" s="215"/>
      <c r="H461" s="11"/>
      <c r="I461" s="11"/>
      <c r="J461" s="11"/>
      <c r="K461" s="11"/>
      <c r="L461" s="45" t="str">
        <f t="shared" si="1"/>
        <v/>
      </c>
      <c r="M461" s="46" t="str">
        <f>IFERROR(__xludf.DUMMYFUNCTION("IF(Account!$F461&lt;&gt;"""", VALUE(REGEXREPLACE($I461, ""\,"", ""."")), """")"),"")</f>
        <v/>
      </c>
      <c r="N461" s="47" t="str">
        <f>IF(Account!$F461&lt;&gt;"", DATEVALUE(MID($A461,4,3) &amp; LEFT($A461,3) &amp; RIGHT($A461,4)) + TIMEVALUE($B461), "")</f>
        <v/>
      </c>
      <c r="O461" s="48" t="str">
        <f>IF(Account!$F461&lt;&gt;"", DATEVALUE(MID($A461,4,3) &amp; LEFT($A461,3) &amp; RIGHT($A461,4)), "")</f>
        <v/>
      </c>
      <c r="P461" s="49" t="str">
        <f>IFERROR(VLOOKUP($Q461,Selection!$F:$G,2,false))</f>
        <v/>
      </c>
      <c r="Q461" s="50" t="str">
        <f>IF(AND($X461="change",$H461="EUR"),IF(AND($Z461="Crédit",$N461=$N462),$Q462,IF(AND($Z461="Débit",$N461=$N460),$Q460)),IF(OR(AND(OR($E461&lt;&gt;"",$L461=""),$M461&lt;&gt;0),$A461=""),IFERROR(VLOOKUP($E461,Selection!$E:$F,2,false)),IFERROR(VLOOKUP(SUBSTITUTE($I461,"-","",1),$K462:$Q1119,7,false),VLOOKUP($K461,$K462:$Q1119,7,false))))</f>
        <v/>
      </c>
      <c r="R461" s="49" t="str">
        <f t="shared" si="2"/>
        <v/>
      </c>
      <c r="S461" s="51" t="str">
        <f t="shared" si="3"/>
        <v/>
      </c>
      <c r="T461" s="52" t="str">
        <f t="shared" si="4"/>
        <v/>
      </c>
      <c r="U461" s="46" t="str">
        <f t="shared" si="5"/>
        <v/>
      </c>
      <c r="V461" s="53" t="str">
        <f>IFERROR(__xludf.DUMMYFUNCTION(" IF(Account!$F461&lt;&gt;"""", SPLIT(Account!$F461, "" ""), """")"),"")</f>
        <v/>
      </c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</row>
    <row r="462">
      <c r="A462" s="11"/>
      <c r="B462" s="11"/>
      <c r="C462" s="11"/>
      <c r="D462" s="11"/>
      <c r="E462" s="11"/>
      <c r="F462" s="12"/>
      <c r="G462" s="215"/>
      <c r="H462" s="11"/>
      <c r="I462" s="11"/>
      <c r="J462" s="11"/>
      <c r="K462" s="11"/>
      <c r="L462" s="45" t="str">
        <f t="shared" si="1"/>
        <v/>
      </c>
      <c r="M462" s="46" t="str">
        <f>IFERROR(__xludf.DUMMYFUNCTION("IF(Account!$F462&lt;&gt;"""", VALUE(REGEXREPLACE($I462, ""\,"", ""."")), """")"),"")</f>
        <v/>
      </c>
      <c r="N462" s="47" t="str">
        <f>IF(Account!$F462&lt;&gt;"", DATEVALUE(MID($A462,4,3) &amp; LEFT($A462,3) &amp; RIGHT($A462,4)) + TIMEVALUE($B462), "")</f>
        <v/>
      </c>
      <c r="O462" s="48" t="str">
        <f>IF(Account!$F462&lt;&gt;"", DATEVALUE(MID($A462,4,3) &amp; LEFT($A462,3) &amp; RIGHT($A462,4)), "")</f>
        <v/>
      </c>
      <c r="P462" s="49" t="str">
        <f>IFERROR(VLOOKUP($Q462,Selection!$F:$G,2,false))</f>
        <v/>
      </c>
      <c r="Q462" s="50" t="str">
        <f>IF(AND($X462="change",$H462="EUR"),IF(AND($Z462="Crédit",$N462=$N463),$Q463,IF(AND($Z462="Débit",$N462=$N461),$Q461)),IF(OR(AND(OR($E462&lt;&gt;"",$L462=""),$M462&lt;&gt;0),$A462=""),IFERROR(VLOOKUP($E462,Selection!$E:$F,2,false)),IFERROR(VLOOKUP(SUBSTITUTE($I462,"-","",1),$K463:$Q1119,7,false),VLOOKUP($K462,$K463:$Q1119,7,false))))</f>
        <v/>
      </c>
      <c r="R462" s="49" t="str">
        <f t="shared" si="2"/>
        <v/>
      </c>
      <c r="S462" s="51" t="str">
        <f t="shared" si="3"/>
        <v/>
      </c>
      <c r="T462" s="52" t="str">
        <f t="shared" si="4"/>
        <v/>
      </c>
      <c r="U462" s="46" t="str">
        <f t="shared" si="5"/>
        <v/>
      </c>
      <c r="V462" s="53" t="str">
        <f>IFERROR(__xludf.DUMMYFUNCTION(" IF(Account!$F462&lt;&gt;"""", SPLIT(Account!$F462, "" ""), """")"),"")</f>
        <v/>
      </c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</row>
    <row r="463">
      <c r="A463" s="11"/>
      <c r="B463" s="11"/>
      <c r="C463" s="11"/>
      <c r="D463" s="11"/>
      <c r="E463" s="11"/>
      <c r="F463" s="12"/>
      <c r="G463" s="11"/>
      <c r="H463" s="11"/>
      <c r="I463" s="11"/>
      <c r="J463" s="11"/>
      <c r="K463" s="11"/>
      <c r="L463" s="45" t="str">
        <f t="shared" si="1"/>
        <v/>
      </c>
      <c r="M463" s="46" t="str">
        <f>IFERROR(__xludf.DUMMYFUNCTION("IF(Account!$F463&lt;&gt;"""", VALUE(REGEXREPLACE($I463, ""\,"", ""."")), """")"),"")</f>
        <v/>
      </c>
      <c r="N463" s="47" t="str">
        <f>IF(Account!$F463&lt;&gt;"", DATEVALUE(MID($A463,4,3) &amp; LEFT($A463,3) &amp; RIGHT($A463,4)) + TIMEVALUE($B463), "")</f>
        <v/>
      </c>
      <c r="O463" s="48" t="str">
        <f>IF(Account!$F463&lt;&gt;"", DATEVALUE(MID($A463,4,3) &amp; LEFT($A463,3) &amp; RIGHT($A463,4)), "")</f>
        <v/>
      </c>
      <c r="P463" s="49" t="str">
        <f>IFERROR(VLOOKUP($Q463,Selection!$F:$G,2,false))</f>
        <v/>
      </c>
      <c r="Q463" s="50" t="str">
        <f>IF(AND($X463="change",$H463="EUR"),IF(AND($Z463="Crédit",$N463=$N464),$Q464,IF(AND($Z463="Débit",$N463=$N462),$Q462)),IF(OR(AND(OR($E463&lt;&gt;"",$L463=""),$M463&lt;&gt;0),$A463=""),IFERROR(VLOOKUP($E463,Selection!$E:$F,2,false)),IFERROR(VLOOKUP(SUBSTITUTE($I463,"-","",1),$K464:$Q1119,7,false),VLOOKUP($K463,$K464:$Q1119,7,false))))</f>
        <v/>
      </c>
      <c r="R463" s="49" t="str">
        <f t="shared" si="2"/>
        <v/>
      </c>
      <c r="S463" s="51" t="str">
        <f t="shared" si="3"/>
        <v/>
      </c>
      <c r="T463" s="52" t="str">
        <f t="shared" si="4"/>
        <v/>
      </c>
      <c r="U463" s="46" t="str">
        <f t="shared" si="5"/>
        <v/>
      </c>
      <c r="V463" s="53" t="str">
        <f>IFERROR(__xludf.DUMMYFUNCTION(" IF(Account!$F463&lt;&gt;"""", SPLIT(Account!$F463, "" ""), """")"),"")</f>
        <v/>
      </c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</row>
    <row r="464">
      <c r="A464" s="11"/>
      <c r="B464" s="11"/>
      <c r="C464" s="11"/>
      <c r="D464" s="11"/>
      <c r="E464" s="11"/>
      <c r="F464" s="12"/>
      <c r="G464" s="215"/>
      <c r="H464" s="11"/>
      <c r="I464" s="11"/>
      <c r="J464" s="11"/>
      <c r="K464" s="11"/>
      <c r="L464" s="45" t="str">
        <f t="shared" si="1"/>
        <v/>
      </c>
      <c r="M464" s="46" t="str">
        <f>IFERROR(__xludf.DUMMYFUNCTION("IF(Account!$F464&lt;&gt;"""", VALUE(REGEXREPLACE($I464, ""\,"", ""."")), """")"),"")</f>
        <v/>
      </c>
      <c r="N464" s="47" t="str">
        <f>IF(Account!$F464&lt;&gt;"", DATEVALUE(MID($A464,4,3) &amp; LEFT($A464,3) &amp; RIGHT($A464,4)) + TIMEVALUE($B464), "")</f>
        <v/>
      </c>
      <c r="O464" s="48" t="str">
        <f>IF(Account!$F464&lt;&gt;"", DATEVALUE(MID($A464,4,3) &amp; LEFT($A464,3) &amp; RIGHT($A464,4)), "")</f>
        <v/>
      </c>
      <c r="P464" s="49" t="str">
        <f>IFERROR(VLOOKUP($Q464,Selection!$F:$G,2,false))</f>
        <v/>
      </c>
      <c r="Q464" s="50" t="str">
        <f>IF(AND($X464="change",$H464="EUR"),IF(AND($Z464="Crédit",$N464=$N465),$Q465,IF(AND($Z464="Débit",$N464=$N463),$Q463)),IF(OR(AND(OR($E464&lt;&gt;"",$L464=""),$M464&lt;&gt;0),$A464=""),IFERROR(VLOOKUP($E464,Selection!$E:$F,2,false)),IFERROR(VLOOKUP(SUBSTITUTE($I464,"-","",1),$K465:$Q1119,7,false),VLOOKUP($K464,$K465:$Q1119,7,false))))</f>
        <v/>
      </c>
      <c r="R464" s="49" t="str">
        <f t="shared" si="2"/>
        <v/>
      </c>
      <c r="S464" s="51" t="str">
        <f t="shared" si="3"/>
        <v/>
      </c>
      <c r="T464" s="52" t="str">
        <f t="shared" si="4"/>
        <v/>
      </c>
      <c r="U464" s="46" t="str">
        <f t="shared" si="5"/>
        <v/>
      </c>
      <c r="V464" s="53" t="str">
        <f>IFERROR(__xludf.DUMMYFUNCTION(" IF(Account!$F464&lt;&gt;"""", SPLIT(Account!$F464, "" ""), """")"),"")</f>
        <v/>
      </c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</row>
    <row r="465">
      <c r="A465" s="11"/>
      <c r="B465" s="11"/>
      <c r="C465" s="11"/>
      <c r="D465" s="11"/>
      <c r="E465" s="11"/>
      <c r="F465" s="12"/>
      <c r="G465" s="11"/>
      <c r="H465" s="11"/>
      <c r="I465" s="11"/>
      <c r="J465" s="11"/>
      <c r="K465" s="11"/>
      <c r="L465" s="45" t="str">
        <f t="shared" si="1"/>
        <v/>
      </c>
      <c r="M465" s="46" t="str">
        <f>IFERROR(__xludf.DUMMYFUNCTION("IF(Account!$F465&lt;&gt;"""", VALUE(REGEXREPLACE($I465, ""\,"", ""."")), """")"),"")</f>
        <v/>
      </c>
      <c r="N465" s="47" t="str">
        <f>IF(Account!$F465&lt;&gt;"", DATEVALUE(MID($A465,4,3) &amp; LEFT($A465,3) &amp; RIGHT($A465,4)) + TIMEVALUE($B465), "")</f>
        <v/>
      </c>
      <c r="O465" s="48" t="str">
        <f>IF(Account!$F465&lt;&gt;"", DATEVALUE(MID($A465,4,3) &amp; LEFT($A465,3) &amp; RIGHT($A465,4)), "")</f>
        <v/>
      </c>
      <c r="P465" s="49" t="str">
        <f>IFERROR(VLOOKUP($Q465,Selection!$F:$G,2,false))</f>
        <v/>
      </c>
      <c r="Q465" s="50" t="str">
        <f>IF(AND($X465="change",$H465="EUR"),IF(AND($Z465="Crédit",$N465=$N466),$Q466,IF(AND($Z465="Débit",$N465=$N464),$Q464)),IF(OR(AND(OR($E465&lt;&gt;"",$L465=""),$M465&lt;&gt;0),$A465=""),IFERROR(VLOOKUP($E465,Selection!$E:$F,2,false)),IFERROR(VLOOKUP(SUBSTITUTE($I465,"-","",1),$K466:$Q1119,7,false),VLOOKUP($K465,$K466:$Q1119,7,false))))</f>
        <v/>
      </c>
      <c r="R465" s="49" t="str">
        <f t="shared" si="2"/>
        <v/>
      </c>
      <c r="S465" s="51" t="str">
        <f t="shared" si="3"/>
        <v/>
      </c>
      <c r="T465" s="52" t="str">
        <f t="shared" si="4"/>
        <v/>
      </c>
      <c r="U465" s="46" t="str">
        <f t="shared" si="5"/>
        <v/>
      </c>
      <c r="V465" s="53" t="str">
        <f>IFERROR(__xludf.DUMMYFUNCTION(" IF(Account!$F465&lt;&gt;"""", SPLIT(Account!$F465, "" ""), """")"),"")</f>
        <v/>
      </c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</row>
    <row r="466">
      <c r="A466" s="11"/>
      <c r="B466" s="11"/>
      <c r="C466" s="11"/>
      <c r="D466" s="11"/>
      <c r="E466" s="11"/>
      <c r="F466" s="12"/>
      <c r="G466" s="215"/>
      <c r="H466" s="11"/>
      <c r="I466" s="11"/>
      <c r="J466" s="11"/>
      <c r="K466" s="11"/>
      <c r="L466" s="45" t="str">
        <f t="shared" si="1"/>
        <v/>
      </c>
      <c r="M466" s="46" t="str">
        <f>IFERROR(__xludf.DUMMYFUNCTION("IF(Account!$F466&lt;&gt;"""", VALUE(REGEXREPLACE($I466, ""\,"", ""."")), """")"),"")</f>
        <v/>
      </c>
      <c r="N466" s="47" t="str">
        <f>IF(Account!$F466&lt;&gt;"", DATEVALUE(MID($A466,4,3) &amp; LEFT($A466,3) &amp; RIGHT($A466,4)) + TIMEVALUE($B466), "")</f>
        <v/>
      </c>
      <c r="O466" s="48" t="str">
        <f>IF(Account!$F466&lt;&gt;"", DATEVALUE(MID($A466,4,3) &amp; LEFT($A466,3) &amp; RIGHT($A466,4)), "")</f>
        <v/>
      </c>
      <c r="P466" s="49" t="str">
        <f>IFERROR(VLOOKUP($Q466,Selection!$F:$G,2,false))</f>
        <v/>
      </c>
      <c r="Q466" s="50" t="str">
        <f>IF(AND($X466="change",$H466="EUR"),IF(AND($Z466="Crédit",$N466=$N467),$Q467,IF(AND($Z466="Débit",$N466=$N465),$Q465)),IF(OR(AND(OR($E466&lt;&gt;"",$L466=""),$M466&lt;&gt;0),$A466=""),IFERROR(VLOOKUP($E466,Selection!$E:$F,2,false)),IFERROR(VLOOKUP(SUBSTITUTE($I466,"-","",1),$K467:$Q1119,7,false),VLOOKUP($K466,$K467:$Q1119,7,false))))</f>
        <v/>
      </c>
      <c r="R466" s="49" t="str">
        <f t="shared" si="2"/>
        <v/>
      </c>
      <c r="S466" s="51" t="str">
        <f t="shared" si="3"/>
        <v/>
      </c>
      <c r="T466" s="52" t="str">
        <f t="shared" si="4"/>
        <v/>
      </c>
      <c r="U466" s="46" t="str">
        <f t="shared" si="5"/>
        <v/>
      </c>
      <c r="V466" s="53" t="str">
        <f>IFERROR(__xludf.DUMMYFUNCTION(" IF(Account!$F466&lt;&gt;"""", SPLIT(Account!$F466, "" ""), """")"),"")</f>
        <v/>
      </c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</row>
    <row r="467">
      <c r="A467" s="11"/>
      <c r="B467" s="11"/>
      <c r="C467" s="11"/>
      <c r="D467" s="11"/>
      <c r="E467" s="11"/>
      <c r="F467" s="12"/>
      <c r="G467" s="11"/>
      <c r="H467" s="11"/>
      <c r="I467" s="11"/>
      <c r="J467" s="11"/>
      <c r="K467" s="11"/>
      <c r="L467" s="45" t="str">
        <f t="shared" si="1"/>
        <v/>
      </c>
      <c r="M467" s="46" t="str">
        <f>IFERROR(__xludf.DUMMYFUNCTION("IF(Account!$F467&lt;&gt;"""", VALUE(REGEXREPLACE($I467, ""\,"", ""."")), """")"),"")</f>
        <v/>
      </c>
      <c r="N467" s="47" t="str">
        <f>IF(Account!$F467&lt;&gt;"", DATEVALUE(MID($A467,4,3) &amp; LEFT($A467,3) &amp; RIGHT($A467,4)) + TIMEVALUE($B467), "")</f>
        <v/>
      </c>
      <c r="O467" s="48" t="str">
        <f>IF(Account!$F467&lt;&gt;"", DATEVALUE(MID($A467,4,3) &amp; LEFT($A467,3) &amp; RIGHT($A467,4)), "")</f>
        <v/>
      </c>
      <c r="P467" s="49" t="str">
        <f>IFERROR(VLOOKUP($Q467,Selection!$F:$G,2,false))</f>
        <v/>
      </c>
      <c r="Q467" s="50" t="str">
        <f>IF(AND($X467="change",$H467="EUR"),IF(AND($Z467="Crédit",$N467=$N468),$Q468,IF(AND($Z467="Débit",$N467=$N466),$Q466)),IF(OR(AND(OR($E467&lt;&gt;"",$L467=""),$M467&lt;&gt;0),$A467=""),IFERROR(VLOOKUP($E467,Selection!$E:$F,2,false)),IFERROR(VLOOKUP(SUBSTITUTE($I467,"-","",1),$K468:$Q1119,7,false),VLOOKUP($K467,$K468:$Q1119,7,false))))</f>
        <v/>
      </c>
      <c r="R467" s="49" t="str">
        <f t="shared" si="2"/>
        <v/>
      </c>
      <c r="S467" s="51" t="str">
        <f t="shared" si="3"/>
        <v/>
      </c>
      <c r="T467" s="52" t="str">
        <f t="shared" si="4"/>
        <v/>
      </c>
      <c r="U467" s="46" t="str">
        <f t="shared" si="5"/>
        <v/>
      </c>
      <c r="V467" s="53" t="str">
        <f>IFERROR(__xludf.DUMMYFUNCTION(" IF(Account!$F467&lt;&gt;"""", SPLIT(Account!$F467, "" ""), """")"),"")</f>
        <v/>
      </c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</row>
    <row r="468">
      <c r="A468" s="11"/>
      <c r="B468" s="11"/>
      <c r="C468" s="11"/>
      <c r="D468" s="11"/>
      <c r="E468" s="11"/>
      <c r="F468" s="12"/>
      <c r="G468" s="215"/>
      <c r="H468" s="11"/>
      <c r="I468" s="11"/>
      <c r="J468" s="11"/>
      <c r="K468" s="11"/>
      <c r="L468" s="45" t="str">
        <f t="shared" si="1"/>
        <v/>
      </c>
      <c r="M468" s="46" t="str">
        <f>IFERROR(__xludf.DUMMYFUNCTION("IF(Account!$F468&lt;&gt;"""", VALUE(REGEXREPLACE($I468, ""\,"", ""."")), """")"),"")</f>
        <v/>
      </c>
      <c r="N468" s="47" t="str">
        <f>IF(Account!$F468&lt;&gt;"", DATEVALUE(MID($A468,4,3) &amp; LEFT($A468,3) &amp; RIGHT($A468,4)) + TIMEVALUE($B468), "")</f>
        <v/>
      </c>
      <c r="O468" s="48" t="str">
        <f>IF(Account!$F468&lt;&gt;"", DATEVALUE(MID($A468,4,3) &amp; LEFT($A468,3) &amp; RIGHT($A468,4)), "")</f>
        <v/>
      </c>
      <c r="P468" s="49" t="str">
        <f>IFERROR(VLOOKUP($Q468,Selection!$F:$G,2,false))</f>
        <v/>
      </c>
      <c r="Q468" s="50" t="str">
        <f>IF(AND($X468="change",$H468="EUR"),IF(AND($Z468="Crédit",$N468=$N469),$Q469,IF(AND($Z468="Débit",$N468=$N467),$Q467)),IF(OR(AND(OR($E468&lt;&gt;"",$L468=""),$M468&lt;&gt;0),$A468=""),IFERROR(VLOOKUP($E468,Selection!$E:$F,2,false)),IFERROR(VLOOKUP(SUBSTITUTE($I468,"-","",1),$K469:$Q1119,7,false),VLOOKUP($K468,$K469:$Q1119,7,false))))</f>
        <v/>
      </c>
      <c r="R468" s="49" t="str">
        <f t="shared" si="2"/>
        <v/>
      </c>
      <c r="S468" s="51" t="str">
        <f t="shared" si="3"/>
        <v/>
      </c>
      <c r="T468" s="52" t="str">
        <f t="shared" si="4"/>
        <v/>
      </c>
      <c r="U468" s="46" t="str">
        <f t="shared" si="5"/>
        <v/>
      </c>
      <c r="V468" s="53" t="str">
        <f>IFERROR(__xludf.DUMMYFUNCTION(" IF(Account!$F468&lt;&gt;"""", SPLIT(Account!$F468, "" ""), """")"),"")</f>
        <v/>
      </c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</row>
    <row r="469">
      <c r="A469" s="11"/>
      <c r="B469" s="11"/>
      <c r="C469" s="11"/>
      <c r="D469" s="11"/>
      <c r="E469" s="11"/>
      <c r="F469" s="12"/>
      <c r="G469" s="215"/>
      <c r="H469" s="11"/>
      <c r="I469" s="11"/>
      <c r="J469" s="11"/>
      <c r="K469" s="11"/>
      <c r="L469" s="45" t="str">
        <f t="shared" si="1"/>
        <v/>
      </c>
      <c r="M469" s="46" t="str">
        <f>IFERROR(__xludf.DUMMYFUNCTION("IF(Account!$F469&lt;&gt;"""", VALUE(REGEXREPLACE($I469, ""\,"", ""."")), """")"),"")</f>
        <v/>
      </c>
      <c r="N469" s="47" t="str">
        <f>IF(Account!$F469&lt;&gt;"", DATEVALUE(MID($A469,4,3) &amp; LEFT($A469,3) &amp; RIGHT($A469,4)) + TIMEVALUE($B469), "")</f>
        <v/>
      </c>
      <c r="O469" s="48" t="str">
        <f>IF(Account!$F469&lt;&gt;"", DATEVALUE(MID($A469,4,3) &amp; LEFT($A469,3) &amp; RIGHT($A469,4)), "")</f>
        <v/>
      </c>
      <c r="P469" s="49" t="str">
        <f>IFERROR(VLOOKUP($Q469,Selection!$F:$G,2,false))</f>
        <v/>
      </c>
      <c r="Q469" s="50" t="str">
        <f>IF(AND($X469="change",$H469="EUR"),IF(AND($Z469="Crédit",$N469=$N470),$Q470,IF(AND($Z469="Débit",$N469=$N468),$Q468)),IF(OR(AND(OR($E469&lt;&gt;"",$L469=""),$M469&lt;&gt;0),$A469=""),IFERROR(VLOOKUP($E469,Selection!$E:$F,2,false)),IFERROR(VLOOKUP(SUBSTITUTE($I469,"-","",1),$K470:$Q1119,7,false),VLOOKUP($K469,$K470:$Q1119,7,false))))</f>
        <v/>
      </c>
      <c r="R469" s="49" t="str">
        <f t="shared" si="2"/>
        <v/>
      </c>
      <c r="S469" s="51" t="str">
        <f t="shared" si="3"/>
        <v/>
      </c>
      <c r="T469" s="52" t="str">
        <f t="shared" si="4"/>
        <v/>
      </c>
      <c r="U469" s="46" t="str">
        <f t="shared" si="5"/>
        <v/>
      </c>
      <c r="V469" s="53" t="str">
        <f>IFERROR(__xludf.DUMMYFUNCTION(" IF(Account!$F469&lt;&gt;"""", SPLIT(Account!$F469, "" ""), """")"),"")</f>
        <v/>
      </c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</row>
    <row r="470">
      <c r="A470" s="11"/>
      <c r="B470" s="11"/>
      <c r="C470" s="11"/>
      <c r="D470" s="11"/>
      <c r="E470" s="11"/>
      <c r="F470" s="12"/>
      <c r="G470" s="215"/>
      <c r="H470" s="11"/>
      <c r="I470" s="11"/>
      <c r="J470" s="11"/>
      <c r="K470" s="11"/>
      <c r="L470" s="45" t="str">
        <f t="shared" si="1"/>
        <v/>
      </c>
      <c r="M470" s="46" t="str">
        <f>IFERROR(__xludf.DUMMYFUNCTION("IF(Account!$F470&lt;&gt;"""", VALUE(REGEXREPLACE($I470, ""\,"", ""."")), """")"),"")</f>
        <v/>
      </c>
      <c r="N470" s="47" t="str">
        <f>IF(Account!$F470&lt;&gt;"", DATEVALUE(MID($A470,4,3) &amp; LEFT($A470,3) &amp; RIGHT($A470,4)) + TIMEVALUE($B470), "")</f>
        <v/>
      </c>
      <c r="O470" s="48" t="str">
        <f>IF(Account!$F470&lt;&gt;"", DATEVALUE(MID($A470,4,3) &amp; LEFT($A470,3) &amp; RIGHT($A470,4)), "")</f>
        <v/>
      </c>
      <c r="P470" s="49" t="str">
        <f>IFERROR(VLOOKUP($Q470,Selection!$F:$G,2,false))</f>
        <v/>
      </c>
      <c r="Q470" s="50" t="str">
        <f>IF(AND($X470="change",$H470="EUR"),IF(AND($Z470="Crédit",$N470=$N471),$Q471,IF(AND($Z470="Débit",$N470=$N469),$Q469)),IF(OR(AND(OR($E470&lt;&gt;"",$L470=""),$M470&lt;&gt;0),$A470=""),IFERROR(VLOOKUP($E470,Selection!$E:$F,2,false)),IFERROR(VLOOKUP(SUBSTITUTE($I470,"-","",1),$K471:$Q1119,7,false),VLOOKUP($K470,$K471:$Q1119,7,false))))</f>
        <v/>
      </c>
      <c r="R470" s="49" t="str">
        <f t="shared" si="2"/>
        <v/>
      </c>
      <c r="S470" s="51" t="str">
        <f t="shared" si="3"/>
        <v/>
      </c>
      <c r="T470" s="52" t="str">
        <f t="shared" si="4"/>
        <v/>
      </c>
      <c r="U470" s="46" t="str">
        <f t="shared" si="5"/>
        <v/>
      </c>
      <c r="V470" s="53" t="str">
        <f>IFERROR(__xludf.DUMMYFUNCTION(" IF(Account!$F470&lt;&gt;"""", SPLIT(Account!$F470, "" ""), """")"),"")</f>
        <v/>
      </c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</row>
    <row r="471">
      <c r="A471" s="11"/>
      <c r="B471" s="11"/>
      <c r="C471" s="11"/>
      <c r="D471" s="11"/>
      <c r="E471" s="11"/>
      <c r="F471" s="12"/>
      <c r="G471" s="215"/>
      <c r="H471" s="11"/>
      <c r="I471" s="11"/>
      <c r="J471" s="11"/>
      <c r="K471" s="11"/>
      <c r="L471" s="45" t="str">
        <f t="shared" si="1"/>
        <v/>
      </c>
      <c r="M471" s="46" t="str">
        <f>IFERROR(__xludf.DUMMYFUNCTION("IF(Account!$F471&lt;&gt;"""", VALUE(REGEXREPLACE($I471, ""\,"", ""."")), """")"),"")</f>
        <v/>
      </c>
      <c r="N471" s="47" t="str">
        <f>IF(Account!$F471&lt;&gt;"", DATEVALUE(MID($A471,4,3) &amp; LEFT($A471,3) &amp; RIGHT($A471,4)) + TIMEVALUE($B471), "")</f>
        <v/>
      </c>
      <c r="O471" s="48" t="str">
        <f>IF(Account!$F471&lt;&gt;"", DATEVALUE(MID($A471,4,3) &amp; LEFT($A471,3) &amp; RIGHT($A471,4)), "")</f>
        <v/>
      </c>
      <c r="P471" s="49" t="str">
        <f>IFERROR(VLOOKUP($Q471,Selection!$F:$G,2,false))</f>
        <v/>
      </c>
      <c r="Q471" s="50" t="str">
        <f>IF(AND($X471="change",$H471="EUR"),IF(AND($Z471="Crédit",$N471=$N472),$Q472,IF(AND($Z471="Débit",$N471=$N470),$Q470)),IF(OR(AND(OR($E471&lt;&gt;"",$L471=""),$M471&lt;&gt;0),$A471=""),IFERROR(VLOOKUP($E471,Selection!$E:$F,2,false)),IFERROR(VLOOKUP(SUBSTITUTE($I471,"-","",1),$K472:$Q1119,7,false),VLOOKUP($K471,$K472:$Q1119,7,false))))</f>
        <v/>
      </c>
      <c r="R471" s="49" t="str">
        <f t="shared" si="2"/>
        <v/>
      </c>
      <c r="S471" s="51" t="str">
        <f t="shared" si="3"/>
        <v/>
      </c>
      <c r="T471" s="52" t="str">
        <f t="shared" si="4"/>
        <v/>
      </c>
      <c r="U471" s="46" t="str">
        <f t="shared" si="5"/>
        <v/>
      </c>
      <c r="V471" s="53" t="str">
        <f>IFERROR(__xludf.DUMMYFUNCTION(" IF(Account!$F471&lt;&gt;"""", SPLIT(Account!$F471, "" ""), """")"),"")</f>
        <v/>
      </c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</row>
    <row r="472">
      <c r="A472" s="11"/>
      <c r="B472" s="11"/>
      <c r="C472" s="11"/>
      <c r="D472" s="11"/>
      <c r="E472" s="11"/>
      <c r="F472" s="12"/>
      <c r="G472" s="11"/>
      <c r="H472" s="11"/>
      <c r="I472" s="11"/>
      <c r="J472" s="11"/>
      <c r="K472" s="11"/>
      <c r="L472" s="45" t="str">
        <f t="shared" si="1"/>
        <v/>
      </c>
      <c r="M472" s="46" t="str">
        <f>IFERROR(__xludf.DUMMYFUNCTION("IF(Account!$F472&lt;&gt;"""", VALUE(REGEXREPLACE($I472, ""\,"", ""."")), """")"),"")</f>
        <v/>
      </c>
      <c r="N472" s="47" t="str">
        <f>IF(Account!$F472&lt;&gt;"", DATEVALUE(MID($A472,4,3) &amp; LEFT($A472,3) &amp; RIGHT($A472,4)) + TIMEVALUE($B472), "")</f>
        <v/>
      </c>
      <c r="O472" s="48" t="str">
        <f>IF(Account!$F472&lt;&gt;"", DATEVALUE(MID($A472,4,3) &amp; LEFT($A472,3) &amp; RIGHT($A472,4)), "")</f>
        <v/>
      </c>
      <c r="P472" s="49" t="str">
        <f>IFERROR(VLOOKUP($Q472,Selection!$F:$G,2,false))</f>
        <v/>
      </c>
      <c r="Q472" s="50" t="str">
        <f>IF(AND($X472="change",$H472="EUR"),IF(AND($Z472="Crédit",$N472=$N473),$Q473,IF(AND($Z472="Débit",$N472=$N471),$Q471)),IF(OR(AND(OR($E472&lt;&gt;"",$L472=""),$M472&lt;&gt;0),$A472=""),IFERROR(VLOOKUP($E472,Selection!$E:$F,2,false)),IFERROR(VLOOKUP(SUBSTITUTE($I472,"-","",1),$K473:$Q1119,7,false),VLOOKUP($K472,$K473:$Q1119,7,false))))</f>
        <v/>
      </c>
      <c r="R472" s="49" t="str">
        <f t="shared" si="2"/>
        <v/>
      </c>
      <c r="S472" s="51" t="str">
        <f t="shared" si="3"/>
        <v/>
      </c>
      <c r="T472" s="52" t="str">
        <f t="shared" si="4"/>
        <v/>
      </c>
      <c r="U472" s="46" t="str">
        <f t="shared" si="5"/>
        <v/>
      </c>
      <c r="V472" s="53" t="str">
        <f>IFERROR(__xludf.DUMMYFUNCTION(" IF(Account!$F472&lt;&gt;"""", SPLIT(Account!$F472, "" ""), """")"),"")</f>
        <v/>
      </c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</row>
    <row r="473">
      <c r="A473" s="11"/>
      <c r="B473" s="11"/>
      <c r="C473" s="11"/>
      <c r="D473" s="11"/>
      <c r="E473" s="11"/>
      <c r="F473" s="12"/>
      <c r="G473" s="215"/>
      <c r="H473" s="11"/>
      <c r="I473" s="11"/>
      <c r="J473" s="11"/>
      <c r="K473" s="11"/>
      <c r="L473" s="45" t="str">
        <f t="shared" si="1"/>
        <v/>
      </c>
      <c r="M473" s="46" t="str">
        <f>IFERROR(__xludf.DUMMYFUNCTION("IF(Account!$F473&lt;&gt;"""", VALUE(REGEXREPLACE($I473, ""\,"", ""."")), """")"),"")</f>
        <v/>
      </c>
      <c r="N473" s="47" t="str">
        <f>IF(Account!$F473&lt;&gt;"", DATEVALUE(MID($A473,4,3) &amp; LEFT($A473,3) &amp; RIGHT($A473,4)) + TIMEVALUE($B473), "")</f>
        <v/>
      </c>
      <c r="O473" s="48" t="str">
        <f>IF(Account!$F473&lt;&gt;"", DATEVALUE(MID($A473,4,3) &amp; LEFT($A473,3) &amp; RIGHT($A473,4)), "")</f>
        <v/>
      </c>
      <c r="P473" s="49" t="str">
        <f>IFERROR(VLOOKUP($Q473,Selection!$F:$G,2,false))</f>
        <v/>
      </c>
      <c r="Q473" s="50" t="str">
        <f>IF(AND($X473="change",$H473="EUR"),IF(AND($Z473="Crédit",$N473=$N474),$Q474,IF(AND($Z473="Débit",$N473=$N472),$Q472)),IF(OR(AND(OR($E473&lt;&gt;"",$L473=""),$M473&lt;&gt;0),$A473=""),IFERROR(VLOOKUP($E473,Selection!$E:$F,2,false)),IFERROR(VLOOKUP(SUBSTITUTE($I473,"-","",1),$K474:$Q1119,7,false),VLOOKUP($K473,$K474:$Q1119,7,false))))</f>
        <v/>
      </c>
      <c r="R473" s="49" t="str">
        <f t="shared" si="2"/>
        <v/>
      </c>
      <c r="S473" s="51" t="str">
        <f t="shared" si="3"/>
        <v/>
      </c>
      <c r="T473" s="52" t="str">
        <f t="shared" si="4"/>
        <v/>
      </c>
      <c r="U473" s="46" t="str">
        <f t="shared" si="5"/>
        <v/>
      </c>
      <c r="V473" s="53" t="str">
        <f>IFERROR(__xludf.DUMMYFUNCTION(" IF(Account!$F473&lt;&gt;"""", SPLIT(Account!$F473, "" ""), """")"),"")</f>
        <v/>
      </c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</row>
    <row r="474">
      <c r="A474" s="11"/>
      <c r="B474" s="11"/>
      <c r="C474" s="11"/>
      <c r="D474" s="11"/>
      <c r="E474" s="11"/>
      <c r="F474" s="12"/>
      <c r="G474" s="215"/>
      <c r="H474" s="11"/>
      <c r="I474" s="11"/>
      <c r="J474" s="11"/>
      <c r="K474" s="11"/>
      <c r="L474" s="45" t="str">
        <f t="shared" si="1"/>
        <v/>
      </c>
      <c r="M474" s="46" t="str">
        <f>IFERROR(__xludf.DUMMYFUNCTION("IF(Account!$F474&lt;&gt;"""", VALUE(REGEXREPLACE($I474, ""\,"", ""."")), """")"),"")</f>
        <v/>
      </c>
      <c r="N474" s="47" t="str">
        <f>IF(Account!$F474&lt;&gt;"", DATEVALUE(MID($A474,4,3) &amp; LEFT($A474,3) &amp; RIGHT($A474,4)) + TIMEVALUE($B474), "")</f>
        <v/>
      </c>
      <c r="O474" s="48" t="str">
        <f>IF(Account!$F474&lt;&gt;"", DATEVALUE(MID($A474,4,3) &amp; LEFT($A474,3) &amp; RIGHT($A474,4)), "")</f>
        <v/>
      </c>
      <c r="P474" s="49" t="str">
        <f>IFERROR(VLOOKUP($Q474,Selection!$F:$G,2,false))</f>
        <v/>
      </c>
      <c r="Q474" s="50" t="str">
        <f>IF(AND($X474="change",$H474="EUR"),IF(AND($Z474="Crédit",$N474=$N475),$Q475,IF(AND($Z474="Débit",$N474=$N473),$Q473)),IF(OR(AND(OR($E474&lt;&gt;"",$L474=""),$M474&lt;&gt;0),$A474=""),IFERROR(VLOOKUP($E474,Selection!$E:$F,2,false)),IFERROR(VLOOKUP(SUBSTITUTE($I474,"-","",1),$K475:$Q1119,7,false),VLOOKUP($K474,$K475:$Q1119,7,false))))</f>
        <v/>
      </c>
      <c r="R474" s="49" t="str">
        <f t="shared" si="2"/>
        <v/>
      </c>
      <c r="S474" s="51" t="str">
        <f t="shared" si="3"/>
        <v/>
      </c>
      <c r="T474" s="52" t="str">
        <f t="shared" si="4"/>
        <v/>
      </c>
      <c r="U474" s="46" t="str">
        <f t="shared" si="5"/>
        <v/>
      </c>
      <c r="V474" s="53" t="str">
        <f>IFERROR(__xludf.DUMMYFUNCTION(" IF(Account!$F474&lt;&gt;"""", SPLIT(Account!$F474, "" ""), """")"),"")</f>
        <v/>
      </c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</row>
    <row r="475">
      <c r="A475" s="11"/>
      <c r="B475" s="11"/>
      <c r="C475" s="11"/>
      <c r="D475" s="11"/>
      <c r="E475" s="11"/>
      <c r="F475" s="12"/>
      <c r="G475" s="11"/>
      <c r="H475" s="11"/>
      <c r="I475" s="11"/>
      <c r="J475" s="11"/>
      <c r="K475" s="11"/>
      <c r="L475" s="45" t="str">
        <f t="shared" si="1"/>
        <v/>
      </c>
      <c r="M475" s="46" t="str">
        <f>IFERROR(__xludf.DUMMYFUNCTION("IF(Account!$F475&lt;&gt;"""", VALUE(REGEXREPLACE($I475, ""\,"", ""."")), """")"),"")</f>
        <v/>
      </c>
      <c r="N475" s="47" t="str">
        <f>IF(Account!$F475&lt;&gt;"", DATEVALUE(MID($A475,4,3) &amp; LEFT($A475,3) &amp; RIGHT($A475,4)) + TIMEVALUE($B475), "")</f>
        <v/>
      </c>
      <c r="O475" s="48" t="str">
        <f>IF(Account!$F475&lt;&gt;"", DATEVALUE(MID($A475,4,3) &amp; LEFT($A475,3) &amp; RIGHT($A475,4)), "")</f>
        <v/>
      </c>
      <c r="P475" s="49" t="str">
        <f>IFERROR(VLOOKUP($Q475,Selection!$F:$G,2,false))</f>
        <v/>
      </c>
      <c r="Q475" s="50" t="str">
        <f>IF(AND($X475="change",$H475="EUR"),IF(AND($Z475="Crédit",$N475=$N476),$Q476,IF(AND($Z475="Débit",$N475=$N474),$Q474)),IF(OR(AND(OR($E475&lt;&gt;"",$L475=""),$M475&lt;&gt;0),$A475=""),IFERROR(VLOOKUP($E475,Selection!$E:$F,2,false)),IFERROR(VLOOKUP(SUBSTITUTE($I475,"-","",1),$K476:$Q1119,7,false),VLOOKUP($K475,$K476:$Q1119,7,false))))</f>
        <v/>
      </c>
      <c r="R475" s="49" t="str">
        <f t="shared" si="2"/>
        <v/>
      </c>
      <c r="S475" s="51" t="str">
        <f t="shared" si="3"/>
        <v/>
      </c>
      <c r="T475" s="52" t="str">
        <f t="shared" si="4"/>
        <v/>
      </c>
      <c r="U475" s="46" t="str">
        <f t="shared" si="5"/>
        <v/>
      </c>
      <c r="V475" s="53" t="str">
        <f>IFERROR(__xludf.DUMMYFUNCTION(" IF(Account!$F475&lt;&gt;"""", SPLIT(Account!$F475, "" ""), """")"),"")</f>
        <v/>
      </c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</row>
    <row r="476">
      <c r="A476" s="11"/>
      <c r="B476" s="11"/>
      <c r="C476" s="11"/>
      <c r="D476" s="11"/>
      <c r="E476" s="11"/>
      <c r="F476" s="12"/>
      <c r="G476" s="215"/>
      <c r="H476" s="11"/>
      <c r="I476" s="11"/>
      <c r="J476" s="11"/>
      <c r="K476" s="11"/>
      <c r="L476" s="45" t="str">
        <f t="shared" si="1"/>
        <v/>
      </c>
      <c r="M476" s="46" t="str">
        <f>IFERROR(__xludf.DUMMYFUNCTION("IF(Account!$F476&lt;&gt;"""", VALUE(REGEXREPLACE($I476, ""\,"", ""."")), """")"),"")</f>
        <v/>
      </c>
      <c r="N476" s="47" t="str">
        <f>IF(Account!$F476&lt;&gt;"", DATEVALUE(MID($A476,4,3) &amp; LEFT($A476,3) &amp; RIGHT($A476,4)) + TIMEVALUE($B476), "")</f>
        <v/>
      </c>
      <c r="O476" s="48" t="str">
        <f>IF(Account!$F476&lt;&gt;"", DATEVALUE(MID($A476,4,3) &amp; LEFT($A476,3) &amp; RIGHT($A476,4)), "")</f>
        <v/>
      </c>
      <c r="P476" s="49" t="str">
        <f>IFERROR(VLOOKUP($Q476,Selection!$F:$G,2,false))</f>
        <v/>
      </c>
      <c r="Q476" s="50" t="str">
        <f>IF(AND($X476="change",$H476="EUR"),IF(AND($Z476="Crédit",$N476=$N477),$Q477,IF(AND($Z476="Débit",$N476=$N475),$Q475)),IF(OR(AND(OR($E476&lt;&gt;"",$L476=""),$M476&lt;&gt;0),$A476=""),IFERROR(VLOOKUP($E476,Selection!$E:$F,2,false)),IFERROR(VLOOKUP(SUBSTITUTE($I476,"-","",1),$K477:$Q1119,7,false),VLOOKUP($K476,$K477:$Q1119,7,false))))</f>
        <v/>
      </c>
      <c r="R476" s="49" t="str">
        <f t="shared" si="2"/>
        <v/>
      </c>
      <c r="S476" s="51" t="str">
        <f t="shared" si="3"/>
        <v/>
      </c>
      <c r="T476" s="52" t="str">
        <f t="shared" si="4"/>
        <v/>
      </c>
      <c r="U476" s="46" t="str">
        <f t="shared" si="5"/>
        <v/>
      </c>
      <c r="V476" s="53" t="str">
        <f>IFERROR(__xludf.DUMMYFUNCTION(" IF(Account!$F476&lt;&gt;"""", SPLIT(Account!$F476, "" ""), """")"),"")</f>
        <v/>
      </c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</row>
    <row r="477">
      <c r="A477" s="11"/>
      <c r="B477" s="11"/>
      <c r="C477" s="11"/>
      <c r="D477" s="11"/>
      <c r="E477" s="11"/>
      <c r="F477" s="12"/>
      <c r="G477" s="215"/>
      <c r="H477" s="11"/>
      <c r="I477" s="11"/>
      <c r="J477" s="11"/>
      <c r="K477" s="11"/>
      <c r="L477" s="45" t="str">
        <f t="shared" si="1"/>
        <v/>
      </c>
      <c r="M477" s="46" t="str">
        <f>IFERROR(__xludf.DUMMYFUNCTION("IF(Account!$F477&lt;&gt;"""", VALUE(REGEXREPLACE($I477, ""\,"", ""."")), """")"),"")</f>
        <v/>
      </c>
      <c r="N477" s="47" t="str">
        <f>IF(Account!$F477&lt;&gt;"", DATEVALUE(MID($A477,4,3) &amp; LEFT($A477,3) &amp; RIGHT($A477,4)) + TIMEVALUE($B477), "")</f>
        <v/>
      </c>
      <c r="O477" s="48" t="str">
        <f>IF(Account!$F477&lt;&gt;"", DATEVALUE(MID($A477,4,3) &amp; LEFT($A477,3) &amp; RIGHT($A477,4)), "")</f>
        <v/>
      </c>
      <c r="P477" s="49" t="str">
        <f>IFERROR(VLOOKUP($Q477,Selection!$F:$G,2,false))</f>
        <v/>
      </c>
      <c r="Q477" s="50" t="str">
        <f>IF(AND($X477="change",$H477="EUR"),IF(AND($Z477="Crédit",$N477=$N478),$Q478,IF(AND($Z477="Débit",$N477=$N476),$Q476)),IF(OR(AND(OR($E477&lt;&gt;"",$L477=""),$M477&lt;&gt;0),$A477=""),IFERROR(VLOOKUP($E477,Selection!$E:$F,2,false)),IFERROR(VLOOKUP(SUBSTITUTE($I477,"-","",1),$K478:$Q1119,7,false),VLOOKUP($K477,$K478:$Q1119,7,false))))</f>
        <v/>
      </c>
      <c r="R477" s="49" t="str">
        <f t="shared" si="2"/>
        <v/>
      </c>
      <c r="S477" s="51" t="str">
        <f t="shared" si="3"/>
        <v/>
      </c>
      <c r="T477" s="52" t="str">
        <f t="shared" si="4"/>
        <v/>
      </c>
      <c r="U477" s="46" t="str">
        <f t="shared" si="5"/>
        <v/>
      </c>
      <c r="V477" s="53" t="str">
        <f>IFERROR(__xludf.DUMMYFUNCTION(" IF(Account!$F477&lt;&gt;"""", SPLIT(Account!$F477, "" ""), """")"),"")</f>
        <v/>
      </c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</row>
    <row r="478">
      <c r="A478" s="11"/>
      <c r="B478" s="11"/>
      <c r="C478" s="11"/>
      <c r="D478" s="11"/>
      <c r="E478" s="11"/>
      <c r="F478" s="12"/>
      <c r="G478" s="215"/>
      <c r="H478" s="11"/>
      <c r="I478" s="11"/>
      <c r="J478" s="11"/>
      <c r="K478" s="11"/>
      <c r="L478" s="45" t="str">
        <f t="shared" si="1"/>
        <v/>
      </c>
      <c r="M478" s="46" t="str">
        <f>IFERROR(__xludf.DUMMYFUNCTION("IF(Account!$F478&lt;&gt;"""", VALUE(REGEXREPLACE($I478, ""\,"", ""."")), """")"),"")</f>
        <v/>
      </c>
      <c r="N478" s="47" t="str">
        <f>IF(Account!$F478&lt;&gt;"", DATEVALUE(MID($A478,4,3) &amp; LEFT($A478,3) &amp; RIGHT($A478,4)) + TIMEVALUE($B478), "")</f>
        <v/>
      </c>
      <c r="O478" s="48" t="str">
        <f>IF(Account!$F478&lt;&gt;"", DATEVALUE(MID($A478,4,3) &amp; LEFT($A478,3) &amp; RIGHT($A478,4)), "")</f>
        <v/>
      </c>
      <c r="P478" s="49" t="str">
        <f>IFERROR(VLOOKUP($Q478,Selection!$F:$G,2,false))</f>
        <v/>
      </c>
      <c r="Q478" s="50" t="str">
        <f>IF(AND($X478="change",$H478="EUR"),IF(AND($Z478="Crédit",$N478=$N479),$Q479,IF(AND($Z478="Débit",$N478=$N477),$Q477)),IF(OR(AND(OR($E478&lt;&gt;"",$L478=""),$M478&lt;&gt;0),$A478=""),IFERROR(VLOOKUP($E478,Selection!$E:$F,2,false)),IFERROR(VLOOKUP(SUBSTITUTE($I478,"-","",1),$K479:$Q1119,7,false),VLOOKUP($K478,$K479:$Q1119,7,false))))</f>
        <v/>
      </c>
      <c r="R478" s="49" t="str">
        <f t="shared" si="2"/>
        <v/>
      </c>
      <c r="S478" s="51" t="str">
        <f t="shared" si="3"/>
        <v/>
      </c>
      <c r="T478" s="52" t="str">
        <f t="shared" si="4"/>
        <v/>
      </c>
      <c r="U478" s="46" t="str">
        <f t="shared" si="5"/>
        <v/>
      </c>
      <c r="V478" s="53" t="str">
        <f>IFERROR(__xludf.DUMMYFUNCTION(" IF(Account!$F478&lt;&gt;"""", SPLIT(Account!$F478, "" ""), """")"),"")</f>
        <v/>
      </c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</row>
    <row r="479">
      <c r="A479" s="11"/>
      <c r="B479" s="11"/>
      <c r="C479" s="11"/>
      <c r="D479" s="11"/>
      <c r="E479" s="11"/>
      <c r="F479" s="12"/>
      <c r="G479" s="215"/>
      <c r="H479" s="215"/>
      <c r="I479" s="215"/>
      <c r="J479" s="11"/>
      <c r="K479" s="11"/>
      <c r="L479" s="45" t="str">
        <f t="shared" si="1"/>
        <v/>
      </c>
      <c r="M479" s="46" t="str">
        <f>IFERROR(__xludf.DUMMYFUNCTION("IF(Account!$F479&lt;&gt;"""", VALUE(REGEXREPLACE($I479, ""\,"", ""."")), """")"),"")</f>
        <v/>
      </c>
      <c r="N479" s="47" t="str">
        <f>IF(Account!$F479&lt;&gt;"", DATEVALUE(MID($A479,4,3) &amp; LEFT($A479,3) &amp; RIGHT($A479,4)) + TIMEVALUE($B479), "")</f>
        <v/>
      </c>
      <c r="O479" s="48" t="str">
        <f>IF(Account!$F479&lt;&gt;"", DATEVALUE(MID($A479,4,3) &amp; LEFT($A479,3) &amp; RIGHT($A479,4)), "")</f>
        <v/>
      </c>
      <c r="P479" s="49" t="str">
        <f>IFERROR(VLOOKUP($Q479,Selection!$F:$G,2,false))</f>
        <v/>
      </c>
      <c r="Q479" s="50" t="str">
        <f>IF(AND($X479="change",$H479="EUR"),IF(AND($Z479="Crédit",$N479=$N480),$Q480,IF(AND($Z479="Débit",$N479=$N478),$Q478)),IF(OR(AND(OR($E479&lt;&gt;"",$L479=""),$M479&lt;&gt;0),$A479=""),IFERROR(VLOOKUP($E479,Selection!$E:$F,2,false)),IFERROR(VLOOKUP(SUBSTITUTE($I479,"-","",1),$K480:$Q1119,7,false),VLOOKUP($K479,$K480:$Q1119,7,false))))</f>
        <v/>
      </c>
      <c r="R479" s="49" t="str">
        <f t="shared" si="2"/>
        <v/>
      </c>
      <c r="S479" s="51" t="str">
        <f t="shared" si="3"/>
        <v/>
      </c>
      <c r="T479" s="52" t="str">
        <f t="shared" si="4"/>
        <v/>
      </c>
      <c r="U479" s="46" t="str">
        <f t="shared" si="5"/>
        <v/>
      </c>
      <c r="V479" s="53" t="str">
        <f>IFERROR(__xludf.DUMMYFUNCTION(" IF(Account!$F479&lt;&gt;"""", SPLIT(Account!$F479, "" ""), """")"),"")</f>
        <v/>
      </c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</row>
    <row r="480">
      <c r="A480" s="11"/>
      <c r="B480" s="11"/>
      <c r="C480" s="11"/>
      <c r="D480" s="215"/>
      <c r="E480" s="215"/>
      <c r="F480" s="12"/>
      <c r="G480" s="11"/>
      <c r="H480" s="11"/>
      <c r="I480" s="11"/>
      <c r="J480" s="11"/>
      <c r="K480" s="11"/>
      <c r="L480" s="45" t="str">
        <f t="shared" si="1"/>
        <v/>
      </c>
      <c r="M480" s="46" t="str">
        <f>IFERROR(__xludf.DUMMYFUNCTION("IF(Account!$F480&lt;&gt;"""", VALUE(REGEXREPLACE($I480, ""\,"", ""."")), """")"),"")</f>
        <v/>
      </c>
      <c r="N480" s="47" t="str">
        <f>IF(Account!$F480&lt;&gt;"", DATEVALUE(MID($A480,4,3) &amp; LEFT($A480,3) &amp; RIGHT($A480,4)) + TIMEVALUE($B480), "")</f>
        <v/>
      </c>
      <c r="O480" s="48" t="str">
        <f>IF(Account!$F480&lt;&gt;"", DATEVALUE(MID($A480,4,3) &amp; LEFT($A480,3) &amp; RIGHT($A480,4)), "")</f>
        <v/>
      </c>
      <c r="P480" s="49" t="str">
        <f>IFERROR(VLOOKUP($Q480,Selection!$F:$G,2,false))</f>
        <v/>
      </c>
      <c r="Q480" s="50" t="str">
        <f>IF(AND($X480="change",$H480="EUR"),IF(AND($Z480="Crédit",$N480=$N481),$Q481,IF(AND($Z480="Débit",$N480=$N479),$Q479)),IF(OR(AND(OR($E480&lt;&gt;"",$L480=""),$M480&lt;&gt;0),$A480=""),IFERROR(VLOOKUP($E480,Selection!$E:$F,2,false)),IFERROR(VLOOKUP(SUBSTITUTE($I480,"-","",1),$K481:$Q1119,7,false),VLOOKUP($K480,$K481:$Q1119,7,false))))</f>
        <v/>
      </c>
      <c r="R480" s="49" t="str">
        <f t="shared" si="2"/>
        <v/>
      </c>
      <c r="S480" s="51" t="str">
        <f t="shared" si="3"/>
        <v/>
      </c>
      <c r="T480" s="52" t="str">
        <f t="shared" si="4"/>
        <v/>
      </c>
      <c r="U480" s="46" t="str">
        <f t="shared" si="5"/>
        <v/>
      </c>
      <c r="V480" s="53" t="str">
        <f>IFERROR(__xludf.DUMMYFUNCTION(" IF(Account!$F480&lt;&gt;"""", SPLIT(Account!$F480, "" ""), """")"),"")</f>
        <v/>
      </c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</row>
    <row r="481">
      <c r="A481" s="11"/>
      <c r="B481" s="11"/>
      <c r="C481" s="11"/>
      <c r="D481" s="215"/>
      <c r="E481" s="215"/>
      <c r="F481" s="12"/>
      <c r="G481" s="215"/>
      <c r="H481" s="11"/>
      <c r="I481" s="11"/>
      <c r="J481" s="11"/>
      <c r="K481" s="11"/>
      <c r="L481" s="45" t="str">
        <f t="shared" si="1"/>
        <v/>
      </c>
      <c r="M481" s="46" t="str">
        <f>IFERROR(__xludf.DUMMYFUNCTION("IF(Account!$F481&lt;&gt;"""", VALUE(REGEXREPLACE($I481, ""\,"", ""."")), """")"),"")</f>
        <v/>
      </c>
      <c r="N481" s="47" t="str">
        <f>IF(Account!$F481&lt;&gt;"", DATEVALUE(MID($A481,4,3) &amp; LEFT($A481,3) &amp; RIGHT($A481,4)) + TIMEVALUE($B481), "")</f>
        <v/>
      </c>
      <c r="O481" s="48" t="str">
        <f>IF(Account!$F481&lt;&gt;"", DATEVALUE(MID($A481,4,3) &amp; LEFT($A481,3) &amp; RIGHT($A481,4)), "")</f>
        <v/>
      </c>
      <c r="P481" s="49" t="str">
        <f>IFERROR(VLOOKUP($Q481,Selection!$F:$G,2,false))</f>
        <v/>
      </c>
      <c r="Q481" s="50" t="str">
        <f>IF(AND($X481="change",$H481="EUR"),IF(AND($Z481="Crédit",$N481=$N482),$Q482,IF(AND($Z481="Débit",$N481=$N480),$Q480)),IF(OR(AND(OR($E481&lt;&gt;"",$L481=""),$M481&lt;&gt;0),$A481=""),IFERROR(VLOOKUP($E481,Selection!$E:$F,2,false)),IFERROR(VLOOKUP(SUBSTITUTE($I481,"-","",1),$K482:$Q1119,7,false),VLOOKUP($K481,$K482:$Q1119,7,false))))</f>
        <v/>
      </c>
      <c r="R481" s="49" t="str">
        <f t="shared" si="2"/>
        <v/>
      </c>
      <c r="S481" s="51" t="str">
        <f t="shared" si="3"/>
        <v/>
      </c>
      <c r="T481" s="52" t="str">
        <f t="shared" si="4"/>
        <v/>
      </c>
      <c r="U481" s="46" t="str">
        <f t="shared" si="5"/>
        <v/>
      </c>
      <c r="V481" s="53" t="str">
        <f>IFERROR(__xludf.DUMMYFUNCTION(" IF(Account!$F481&lt;&gt;"""", SPLIT(Account!$F481, "" ""), """")"),"")</f>
        <v/>
      </c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</row>
    <row r="482">
      <c r="A482" s="11"/>
      <c r="B482" s="11"/>
      <c r="C482" s="11"/>
      <c r="D482" s="11"/>
      <c r="E482" s="11"/>
      <c r="F482" s="12"/>
      <c r="G482" s="215"/>
      <c r="H482" s="215"/>
      <c r="I482" s="215"/>
      <c r="J482" s="11"/>
      <c r="K482" s="11"/>
      <c r="L482" s="45" t="str">
        <f t="shared" si="1"/>
        <v/>
      </c>
      <c r="M482" s="46" t="str">
        <f>IFERROR(__xludf.DUMMYFUNCTION("IF(Account!$F482&lt;&gt;"""", VALUE(REGEXREPLACE($I482, ""\,"", ""."")), """")"),"")</f>
        <v/>
      </c>
      <c r="N482" s="47" t="str">
        <f>IF(Account!$F482&lt;&gt;"", DATEVALUE(MID($A482,4,3) &amp; LEFT($A482,3) &amp; RIGHT($A482,4)) + TIMEVALUE($B482), "")</f>
        <v/>
      </c>
      <c r="O482" s="48" t="str">
        <f>IF(Account!$F482&lt;&gt;"", DATEVALUE(MID($A482,4,3) &amp; LEFT($A482,3) &amp; RIGHT($A482,4)), "")</f>
        <v/>
      </c>
      <c r="P482" s="49" t="str">
        <f>IFERROR(VLOOKUP($Q482,Selection!$F:$G,2,false))</f>
        <v/>
      </c>
      <c r="Q482" s="50" t="str">
        <f>IF(AND($X482="change",$H482="EUR"),IF(AND($Z482="Crédit",$N482=$N483),$Q483,IF(AND($Z482="Débit",$N482=$N481),$Q481)),IF(OR(AND(OR($E482&lt;&gt;"",$L482=""),$M482&lt;&gt;0),$A482=""),IFERROR(VLOOKUP($E482,Selection!$E:$F,2,false)),IFERROR(VLOOKUP(SUBSTITUTE($I482,"-","",1),$K483:$Q1119,7,false),VLOOKUP($K482,$K483:$Q1119,7,false))))</f>
        <v/>
      </c>
      <c r="R482" s="49" t="str">
        <f t="shared" si="2"/>
        <v/>
      </c>
      <c r="S482" s="51" t="str">
        <f t="shared" si="3"/>
        <v/>
      </c>
      <c r="T482" s="52" t="str">
        <f t="shared" si="4"/>
        <v/>
      </c>
      <c r="U482" s="46" t="str">
        <f t="shared" si="5"/>
        <v/>
      </c>
      <c r="V482" s="53" t="str">
        <f>IFERROR(__xludf.DUMMYFUNCTION(" IF(Account!$F482&lt;&gt;"""", SPLIT(Account!$F482, "" ""), """")"),"")</f>
        <v/>
      </c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</row>
    <row r="483">
      <c r="A483" s="11"/>
      <c r="B483" s="11"/>
      <c r="C483" s="11"/>
      <c r="D483" s="11"/>
      <c r="E483" s="11"/>
      <c r="F483" s="12"/>
      <c r="G483" s="215"/>
      <c r="H483" s="11"/>
      <c r="I483" s="11"/>
      <c r="J483" s="11"/>
      <c r="K483" s="11"/>
      <c r="L483" s="45" t="str">
        <f t="shared" si="1"/>
        <v/>
      </c>
      <c r="M483" s="46" t="str">
        <f>IFERROR(__xludf.DUMMYFUNCTION("IF(Account!$F483&lt;&gt;"""", VALUE(REGEXREPLACE($I483, ""\,"", ""."")), """")"),"")</f>
        <v/>
      </c>
      <c r="N483" s="47" t="str">
        <f>IF(Account!$F483&lt;&gt;"", DATEVALUE(MID($A483,4,3) &amp; LEFT($A483,3) &amp; RIGHT($A483,4)) + TIMEVALUE($B483), "")</f>
        <v/>
      </c>
      <c r="O483" s="48" t="str">
        <f>IF(Account!$F483&lt;&gt;"", DATEVALUE(MID($A483,4,3) &amp; LEFT($A483,3) &amp; RIGHT($A483,4)), "")</f>
        <v/>
      </c>
      <c r="P483" s="49" t="str">
        <f>IFERROR(VLOOKUP($Q483,Selection!$F:$G,2,false))</f>
        <v/>
      </c>
      <c r="Q483" s="50" t="str">
        <f>IF(AND($X483="change",$H483="EUR"),IF(AND($Z483="Crédit",$N483=$N484),$Q484,IF(AND($Z483="Débit",$N483=$N482),$Q482)),IF(OR(AND(OR($E483&lt;&gt;"",$L483=""),$M483&lt;&gt;0),$A483=""),IFERROR(VLOOKUP($E483,Selection!$E:$F,2,false)),IFERROR(VLOOKUP(SUBSTITUTE($I483,"-","",1),$K484:$Q1119,7,false),VLOOKUP($K483,$K484:$Q1119,7,false))))</f>
        <v/>
      </c>
      <c r="R483" s="49" t="str">
        <f t="shared" si="2"/>
        <v/>
      </c>
      <c r="S483" s="51" t="str">
        <f t="shared" si="3"/>
        <v/>
      </c>
      <c r="T483" s="52" t="str">
        <f t="shared" si="4"/>
        <v/>
      </c>
      <c r="U483" s="46" t="str">
        <f t="shared" si="5"/>
        <v/>
      </c>
      <c r="V483" s="53" t="str">
        <f>IFERROR(__xludf.DUMMYFUNCTION(" IF(Account!$F483&lt;&gt;"""", SPLIT(Account!$F483, "" ""), """")"),"")</f>
        <v/>
      </c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</row>
    <row r="484">
      <c r="A484" s="11"/>
      <c r="B484" s="11"/>
      <c r="C484" s="11"/>
      <c r="D484" s="11"/>
      <c r="E484" s="11"/>
      <c r="F484" s="12"/>
      <c r="G484" s="215"/>
      <c r="H484" s="11"/>
      <c r="I484" s="11"/>
      <c r="J484" s="11"/>
      <c r="K484" s="11"/>
      <c r="L484" s="45" t="str">
        <f t="shared" si="1"/>
        <v/>
      </c>
      <c r="M484" s="46" t="str">
        <f>IFERROR(__xludf.DUMMYFUNCTION("IF(Account!$F484&lt;&gt;"""", VALUE(REGEXREPLACE($I484, ""\,"", ""."")), """")"),"")</f>
        <v/>
      </c>
      <c r="N484" s="47" t="str">
        <f>IF(Account!$F484&lt;&gt;"", DATEVALUE(MID($A484,4,3) &amp; LEFT($A484,3) &amp; RIGHT($A484,4)) + TIMEVALUE($B484), "")</f>
        <v/>
      </c>
      <c r="O484" s="48" t="str">
        <f>IF(Account!$F484&lt;&gt;"", DATEVALUE(MID($A484,4,3) &amp; LEFT($A484,3) &amp; RIGHT($A484,4)), "")</f>
        <v/>
      </c>
      <c r="P484" s="49" t="str">
        <f>IFERROR(VLOOKUP($Q484,Selection!$F:$G,2,false))</f>
        <v/>
      </c>
      <c r="Q484" s="50" t="str">
        <f>IF(AND($X484="change",$H484="EUR"),IF(AND($Z484="Crédit",$N484=$N485),$Q485,IF(AND($Z484="Débit",$N484=$N483),$Q483)),IF(OR(AND(OR($E484&lt;&gt;"",$L484=""),$M484&lt;&gt;0),$A484=""),IFERROR(VLOOKUP($E484,Selection!$E:$F,2,false)),IFERROR(VLOOKUP(SUBSTITUTE($I484,"-","",1),$K485:$Q1119,7,false),VLOOKUP($K484,$K485:$Q1119,7,false))))</f>
        <v/>
      </c>
      <c r="R484" s="49" t="str">
        <f t="shared" si="2"/>
        <v/>
      </c>
      <c r="S484" s="51" t="str">
        <f t="shared" si="3"/>
        <v/>
      </c>
      <c r="T484" s="52" t="str">
        <f t="shared" si="4"/>
        <v/>
      </c>
      <c r="U484" s="46" t="str">
        <f t="shared" si="5"/>
        <v/>
      </c>
      <c r="V484" s="53" t="str">
        <f>IFERROR(__xludf.DUMMYFUNCTION(" IF(Account!$F484&lt;&gt;"""", SPLIT(Account!$F484, "" ""), """")"),"")</f>
        <v/>
      </c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</row>
    <row r="485">
      <c r="A485" s="11"/>
      <c r="B485" s="11"/>
      <c r="C485" s="11"/>
      <c r="D485" s="215"/>
      <c r="E485" s="215"/>
      <c r="F485" s="12"/>
      <c r="G485" s="215"/>
      <c r="H485" s="11"/>
      <c r="I485" s="11"/>
      <c r="J485" s="11"/>
      <c r="K485" s="11"/>
      <c r="L485" s="45" t="str">
        <f t="shared" si="1"/>
        <v/>
      </c>
      <c r="M485" s="46" t="str">
        <f>IFERROR(__xludf.DUMMYFUNCTION("IF(Account!$F485&lt;&gt;"""", VALUE(REGEXREPLACE($I485, ""\,"", ""."")), """")"),"")</f>
        <v/>
      </c>
      <c r="N485" s="47" t="str">
        <f>IF(Account!$F485&lt;&gt;"", DATEVALUE(MID($A485,4,3) &amp; LEFT($A485,3) &amp; RIGHT($A485,4)) + TIMEVALUE($B485), "")</f>
        <v/>
      </c>
      <c r="O485" s="48" t="str">
        <f>IF(Account!$F485&lt;&gt;"", DATEVALUE(MID($A485,4,3) &amp; LEFT($A485,3) &amp; RIGHT($A485,4)), "")</f>
        <v/>
      </c>
      <c r="P485" s="49" t="str">
        <f>IFERROR(VLOOKUP($Q485,Selection!$F:$G,2,false))</f>
        <v/>
      </c>
      <c r="Q485" s="50" t="str">
        <f>IF(AND($X485="change",$H485="EUR"),IF(AND($Z485="Crédit",$N485=$N486),$Q486,IF(AND($Z485="Débit",$N485=$N484),$Q484)),IF(OR(AND(OR($E485&lt;&gt;"",$L485=""),$M485&lt;&gt;0),$A485=""),IFERROR(VLOOKUP($E485,Selection!$E:$F,2,false)),IFERROR(VLOOKUP(SUBSTITUTE($I485,"-","",1),$K486:$Q1119,7,false),VLOOKUP($K485,$K486:$Q1119,7,false))))</f>
        <v/>
      </c>
      <c r="R485" s="49" t="str">
        <f t="shared" si="2"/>
        <v/>
      </c>
      <c r="S485" s="51" t="str">
        <f t="shared" si="3"/>
        <v/>
      </c>
      <c r="T485" s="52" t="str">
        <f t="shared" si="4"/>
        <v/>
      </c>
      <c r="U485" s="46" t="str">
        <f t="shared" si="5"/>
        <v/>
      </c>
      <c r="V485" s="53" t="str">
        <f>IFERROR(__xludf.DUMMYFUNCTION(" IF(Account!$F485&lt;&gt;"""", SPLIT(Account!$F485, "" ""), """")"),"")</f>
        <v/>
      </c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</row>
    <row r="486">
      <c r="A486" s="11"/>
      <c r="B486" s="11"/>
      <c r="C486" s="11"/>
      <c r="D486" s="215"/>
      <c r="E486" s="215"/>
      <c r="F486" s="12"/>
      <c r="G486" s="215"/>
      <c r="H486" s="11"/>
      <c r="I486" s="11"/>
      <c r="J486" s="11"/>
      <c r="K486" s="11"/>
      <c r="L486" s="45" t="str">
        <f t="shared" si="1"/>
        <v/>
      </c>
      <c r="M486" s="46" t="str">
        <f>IFERROR(__xludf.DUMMYFUNCTION("IF(Account!$F486&lt;&gt;"""", VALUE(REGEXREPLACE($I486, ""\,"", ""."")), """")"),"")</f>
        <v/>
      </c>
      <c r="N486" s="47" t="str">
        <f>IF(Account!$F486&lt;&gt;"", DATEVALUE(MID($A486,4,3) &amp; LEFT($A486,3) &amp; RIGHT($A486,4)) + TIMEVALUE($B486), "")</f>
        <v/>
      </c>
      <c r="O486" s="48" t="str">
        <f>IF(Account!$F486&lt;&gt;"", DATEVALUE(MID($A486,4,3) &amp; LEFT($A486,3) &amp; RIGHT($A486,4)), "")</f>
        <v/>
      </c>
      <c r="P486" s="49" t="str">
        <f>IFERROR(VLOOKUP($Q486,Selection!$F:$G,2,false))</f>
        <v/>
      </c>
      <c r="Q486" s="50" t="str">
        <f>IF(AND($X486="change",$H486="EUR"),IF(AND($Z486="Crédit",$N486=$N487),$Q487,IF(AND($Z486="Débit",$N486=$N485),$Q485)),IF(OR(AND(OR($E486&lt;&gt;"",$L486=""),$M486&lt;&gt;0),$A486=""),IFERROR(VLOOKUP($E486,Selection!$E:$F,2,false)),IFERROR(VLOOKUP(SUBSTITUTE($I486,"-","",1),$K487:$Q1119,7,false),VLOOKUP($K486,$K487:$Q1119,7,false))))</f>
        <v/>
      </c>
      <c r="R486" s="49" t="str">
        <f t="shared" si="2"/>
        <v/>
      </c>
      <c r="S486" s="51" t="str">
        <f t="shared" si="3"/>
        <v/>
      </c>
      <c r="T486" s="52" t="str">
        <f t="shared" si="4"/>
        <v/>
      </c>
      <c r="U486" s="46" t="str">
        <f t="shared" si="5"/>
        <v/>
      </c>
      <c r="V486" s="53" t="str">
        <f>IFERROR(__xludf.DUMMYFUNCTION(" IF(Account!$F486&lt;&gt;"""", SPLIT(Account!$F486, "" ""), """")"),"")</f>
        <v/>
      </c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</row>
    <row r="487">
      <c r="A487" s="11"/>
      <c r="B487" s="11"/>
      <c r="C487" s="11"/>
      <c r="D487" s="215"/>
      <c r="E487" s="215"/>
      <c r="F487" s="12"/>
      <c r="G487" s="215"/>
      <c r="H487" s="11"/>
      <c r="I487" s="11"/>
      <c r="J487" s="11"/>
      <c r="K487" s="11"/>
      <c r="L487" s="45" t="str">
        <f t="shared" si="1"/>
        <v/>
      </c>
      <c r="M487" s="46" t="str">
        <f>IFERROR(__xludf.DUMMYFUNCTION("IF(Account!$F487&lt;&gt;"""", VALUE(REGEXREPLACE($I487, ""\,"", ""."")), """")"),"")</f>
        <v/>
      </c>
      <c r="N487" s="47" t="str">
        <f>IF(Account!$F487&lt;&gt;"", DATEVALUE(MID($A487,4,3) &amp; LEFT($A487,3) &amp; RIGHT($A487,4)) + TIMEVALUE($B487), "")</f>
        <v/>
      </c>
      <c r="O487" s="48" t="str">
        <f>IF(Account!$F487&lt;&gt;"", DATEVALUE(MID($A487,4,3) &amp; LEFT($A487,3) &amp; RIGHT($A487,4)), "")</f>
        <v/>
      </c>
      <c r="P487" s="49" t="str">
        <f>IFERROR(VLOOKUP($Q487,Selection!$F:$G,2,false))</f>
        <v/>
      </c>
      <c r="Q487" s="50" t="str">
        <f>IF(AND($X487="change",$H487="EUR"),IF(AND($Z487="Crédit",$N487=$N488),$Q488,IF(AND($Z487="Débit",$N487=$N486),$Q486)),IF(OR(AND(OR($E487&lt;&gt;"",$L487=""),$M487&lt;&gt;0),$A487=""),IFERROR(VLOOKUP($E487,Selection!$E:$F,2,false)),IFERROR(VLOOKUP(SUBSTITUTE($I487,"-","",1),$K488:$Q1119,7,false),VLOOKUP($K487,$K488:$Q1119,7,false))))</f>
        <v/>
      </c>
      <c r="R487" s="49" t="str">
        <f t="shared" si="2"/>
        <v/>
      </c>
      <c r="S487" s="51" t="str">
        <f t="shared" si="3"/>
        <v/>
      </c>
      <c r="T487" s="52" t="str">
        <f t="shared" si="4"/>
        <v/>
      </c>
      <c r="U487" s="46" t="str">
        <f t="shared" si="5"/>
        <v/>
      </c>
      <c r="V487" s="53" t="str">
        <f>IFERROR(__xludf.DUMMYFUNCTION(" IF(Account!$F487&lt;&gt;"""", SPLIT(Account!$F487, "" ""), """")"),"")</f>
        <v/>
      </c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</row>
    <row r="488">
      <c r="A488" s="11"/>
      <c r="B488" s="11"/>
      <c r="C488" s="11"/>
      <c r="D488" s="11"/>
      <c r="E488" s="11"/>
      <c r="F488" s="12"/>
      <c r="G488" s="11"/>
      <c r="H488" s="11"/>
      <c r="I488" s="11"/>
      <c r="J488" s="11"/>
      <c r="K488" s="11"/>
      <c r="L488" s="45" t="str">
        <f t="shared" si="1"/>
        <v/>
      </c>
      <c r="M488" s="46" t="str">
        <f>IFERROR(__xludf.DUMMYFUNCTION("IF(Account!$F488&lt;&gt;"""", VALUE(REGEXREPLACE($I488, ""\,"", ""."")), """")"),"")</f>
        <v/>
      </c>
      <c r="N488" s="47" t="str">
        <f>IF(Account!$F488&lt;&gt;"", DATEVALUE(MID($A488,4,3) &amp; LEFT($A488,3) &amp; RIGHT($A488,4)) + TIMEVALUE($B488), "")</f>
        <v/>
      </c>
      <c r="O488" s="48" t="str">
        <f>IF(Account!$F488&lt;&gt;"", DATEVALUE(MID($A488,4,3) &amp; LEFT($A488,3) &amp; RIGHT($A488,4)), "")</f>
        <v/>
      </c>
      <c r="P488" s="49" t="str">
        <f>IFERROR(VLOOKUP($Q488,Selection!$F:$G,2,false))</f>
        <v/>
      </c>
      <c r="Q488" s="50" t="str">
        <f>IF(AND($X488="change",$H488="EUR"),IF(AND($Z488="Crédit",$N488=$N489),$Q489,IF(AND($Z488="Débit",$N488=$N487),$Q487)),IF(OR(AND(OR($E488&lt;&gt;"",$L488=""),$M488&lt;&gt;0),$A488=""),IFERROR(VLOOKUP($E488,Selection!$E:$F,2,false)),IFERROR(VLOOKUP(SUBSTITUTE($I488,"-","",1),$K489:$Q1119,7,false),VLOOKUP($K488,$K489:$Q1119,7,false))))</f>
        <v/>
      </c>
      <c r="R488" s="49" t="str">
        <f t="shared" si="2"/>
        <v/>
      </c>
      <c r="S488" s="51" t="str">
        <f t="shared" si="3"/>
        <v/>
      </c>
      <c r="T488" s="52" t="str">
        <f t="shared" si="4"/>
        <v/>
      </c>
      <c r="U488" s="46" t="str">
        <f t="shared" si="5"/>
        <v/>
      </c>
      <c r="V488" s="53" t="str">
        <f>IFERROR(__xludf.DUMMYFUNCTION(" IF(Account!$F488&lt;&gt;"""", SPLIT(Account!$F488, "" ""), """")"),"")</f>
        <v/>
      </c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</row>
    <row r="489">
      <c r="A489" s="11"/>
      <c r="B489" s="11"/>
      <c r="C489" s="11"/>
      <c r="D489" s="11"/>
      <c r="E489" s="11"/>
      <c r="F489" s="12"/>
      <c r="G489" s="215"/>
      <c r="H489" s="11"/>
      <c r="I489" s="11"/>
      <c r="J489" s="11"/>
      <c r="K489" s="11"/>
      <c r="L489" s="45" t="str">
        <f t="shared" si="1"/>
        <v/>
      </c>
      <c r="M489" s="46" t="str">
        <f>IFERROR(__xludf.DUMMYFUNCTION("IF(Account!$F489&lt;&gt;"""", VALUE(REGEXREPLACE($I489, ""\,"", ""."")), """")"),"")</f>
        <v/>
      </c>
      <c r="N489" s="47" t="str">
        <f>IF(Account!$F489&lt;&gt;"", DATEVALUE(MID($A489,4,3) &amp; LEFT($A489,3) &amp; RIGHT($A489,4)) + TIMEVALUE($B489), "")</f>
        <v/>
      </c>
      <c r="O489" s="48" t="str">
        <f>IF(Account!$F489&lt;&gt;"", DATEVALUE(MID($A489,4,3) &amp; LEFT($A489,3) &amp; RIGHT($A489,4)), "")</f>
        <v/>
      </c>
      <c r="P489" s="49" t="str">
        <f>IFERROR(VLOOKUP($Q489,Selection!$F:$G,2,false))</f>
        <v/>
      </c>
      <c r="Q489" s="50" t="str">
        <f>IF(AND($X489="change",$H489="EUR"),IF(AND($Z489="Crédit",$N489=$N490),$Q490,IF(AND($Z489="Débit",$N489=$N488),$Q488)),IF(OR(AND(OR($E489&lt;&gt;"",$L489=""),$M489&lt;&gt;0),$A489=""),IFERROR(VLOOKUP($E489,Selection!$E:$F,2,false)),IFERROR(VLOOKUP(SUBSTITUTE($I489,"-","",1),$K490:$Q1119,7,false),VLOOKUP($K489,$K490:$Q1119,7,false))))</f>
        <v/>
      </c>
      <c r="R489" s="49" t="str">
        <f t="shared" si="2"/>
        <v/>
      </c>
      <c r="S489" s="51" t="str">
        <f t="shared" si="3"/>
        <v/>
      </c>
      <c r="T489" s="52" t="str">
        <f t="shared" si="4"/>
        <v/>
      </c>
      <c r="U489" s="46" t="str">
        <f t="shared" si="5"/>
        <v/>
      </c>
      <c r="V489" s="53" t="str">
        <f>IFERROR(__xludf.DUMMYFUNCTION(" IF(Account!$F489&lt;&gt;"""", SPLIT(Account!$F489, "" ""), """")"),"")</f>
        <v/>
      </c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</row>
    <row r="490">
      <c r="A490" s="11"/>
      <c r="B490" s="11"/>
      <c r="C490" s="11"/>
      <c r="D490" s="11"/>
      <c r="E490" s="11"/>
      <c r="F490" s="12"/>
      <c r="G490" s="11"/>
      <c r="H490" s="11"/>
      <c r="I490" s="11"/>
      <c r="J490" s="11"/>
      <c r="K490" s="11"/>
      <c r="L490" s="45" t="str">
        <f t="shared" si="1"/>
        <v/>
      </c>
      <c r="M490" s="46" t="str">
        <f>IFERROR(__xludf.DUMMYFUNCTION("IF(Account!$F490&lt;&gt;"""", VALUE(REGEXREPLACE($I490, ""\,"", ""."")), """")"),"")</f>
        <v/>
      </c>
      <c r="N490" s="47" t="str">
        <f>IF(Account!$F490&lt;&gt;"", DATEVALUE(MID($A490,4,3) &amp; LEFT($A490,3) &amp; RIGHT($A490,4)) + TIMEVALUE($B490), "")</f>
        <v/>
      </c>
      <c r="O490" s="48" t="str">
        <f>IF(Account!$F490&lt;&gt;"", DATEVALUE(MID($A490,4,3) &amp; LEFT($A490,3) &amp; RIGHT($A490,4)), "")</f>
        <v/>
      </c>
      <c r="P490" s="49" t="str">
        <f>IFERROR(VLOOKUP($Q490,Selection!$F:$G,2,false))</f>
        <v/>
      </c>
      <c r="Q490" s="50" t="str">
        <f>IF(AND($X490="change",$H490="EUR"),IF(AND($Z490="Crédit",$N490=$N491),$Q491,IF(AND($Z490="Débit",$N490=$N489),$Q489)),IF(OR(AND(OR($E490&lt;&gt;"",$L490=""),$M490&lt;&gt;0),$A490=""),IFERROR(VLOOKUP($E490,Selection!$E:$F,2,false)),IFERROR(VLOOKUP(SUBSTITUTE($I490,"-","",1),$K491:$Q1119,7,false),VLOOKUP($K490,$K491:$Q1119,7,false))))</f>
        <v/>
      </c>
      <c r="R490" s="49" t="str">
        <f t="shared" si="2"/>
        <v/>
      </c>
      <c r="S490" s="51" t="str">
        <f t="shared" si="3"/>
        <v/>
      </c>
      <c r="T490" s="52" t="str">
        <f t="shared" si="4"/>
        <v/>
      </c>
      <c r="U490" s="46" t="str">
        <f t="shared" si="5"/>
        <v/>
      </c>
      <c r="V490" s="53" t="str">
        <f>IFERROR(__xludf.DUMMYFUNCTION(" IF(Account!$F490&lt;&gt;"""", SPLIT(Account!$F490, "" ""), """")"),"")</f>
        <v/>
      </c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</row>
    <row r="491">
      <c r="A491" s="11"/>
      <c r="B491" s="11"/>
      <c r="C491" s="11"/>
      <c r="D491" s="11"/>
      <c r="E491" s="11"/>
      <c r="F491" s="12"/>
      <c r="G491" s="215"/>
      <c r="H491" s="11"/>
      <c r="I491" s="11"/>
      <c r="J491" s="11"/>
      <c r="K491" s="11"/>
      <c r="L491" s="45" t="str">
        <f t="shared" si="1"/>
        <v/>
      </c>
      <c r="M491" s="46" t="str">
        <f>IFERROR(__xludf.DUMMYFUNCTION("IF(Account!$F491&lt;&gt;"""", VALUE(REGEXREPLACE($I491, ""\,"", ""."")), """")"),"")</f>
        <v/>
      </c>
      <c r="N491" s="47" t="str">
        <f>IF(Account!$F491&lt;&gt;"", DATEVALUE(MID($A491,4,3) &amp; LEFT($A491,3) &amp; RIGHT($A491,4)) + TIMEVALUE($B491), "")</f>
        <v/>
      </c>
      <c r="O491" s="48" t="str">
        <f>IF(Account!$F491&lt;&gt;"", DATEVALUE(MID($A491,4,3) &amp; LEFT($A491,3) &amp; RIGHT($A491,4)), "")</f>
        <v/>
      </c>
      <c r="P491" s="49" t="str">
        <f>IFERROR(VLOOKUP($Q491,Selection!$F:$G,2,false))</f>
        <v/>
      </c>
      <c r="Q491" s="50" t="str">
        <f>IF(AND($X491="change",$H491="EUR"),IF(AND($Z491="Crédit",$N491=$N492),$Q492,IF(AND($Z491="Débit",$N491=$N490),$Q490)),IF(OR(AND(OR($E491&lt;&gt;"",$L491=""),$M491&lt;&gt;0),$A491=""),IFERROR(VLOOKUP($E491,Selection!$E:$F,2,false)),IFERROR(VLOOKUP(SUBSTITUTE($I491,"-","",1),$K492:$Q1119,7,false),VLOOKUP($K491,$K492:$Q1119,7,false))))</f>
        <v/>
      </c>
      <c r="R491" s="49" t="str">
        <f t="shared" si="2"/>
        <v/>
      </c>
      <c r="S491" s="51" t="str">
        <f t="shared" si="3"/>
        <v/>
      </c>
      <c r="T491" s="52" t="str">
        <f t="shared" si="4"/>
        <v/>
      </c>
      <c r="U491" s="46" t="str">
        <f t="shared" si="5"/>
        <v/>
      </c>
      <c r="V491" s="53" t="str">
        <f>IFERROR(__xludf.DUMMYFUNCTION(" IF(Account!$F491&lt;&gt;"""", SPLIT(Account!$F491, "" ""), """")"),"")</f>
        <v/>
      </c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</row>
    <row r="492">
      <c r="A492" s="11"/>
      <c r="B492" s="11"/>
      <c r="C492" s="11"/>
      <c r="D492" s="11"/>
      <c r="E492" s="11"/>
      <c r="F492" s="12"/>
      <c r="G492" s="215"/>
      <c r="H492" s="11"/>
      <c r="I492" s="11"/>
      <c r="J492" s="11"/>
      <c r="K492" s="11"/>
      <c r="L492" s="45" t="str">
        <f t="shared" si="1"/>
        <v/>
      </c>
      <c r="M492" s="46" t="str">
        <f>IFERROR(__xludf.DUMMYFUNCTION("IF(Account!$F492&lt;&gt;"""", VALUE(REGEXREPLACE($I492, ""\,"", ""."")), """")"),"")</f>
        <v/>
      </c>
      <c r="N492" s="47" t="str">
        <f>IF(Account!$F492&lt;&gt;"", DATEVALUE(MID($A492,4,3) &amp; LEFT($A492,3) &amp; RIGHT($A492,4)) + TIMEVALUE($B492), "")</f>
        <v/>
      </c>
      <c r="O492" s="48" t="str">
        <f>IF(Account!$F492&lt;&gt;"", DATEVALUE(MID($A492,4,3) &amp; LEFT($A492,3) &amp; RIGHT($A492,4)), "")</f>
        <v/>
      </c>
      <c r="P492" s="49" t="str">
        <f>IFERROR(VLOOKUP($Q492,Selection!$F:$G,2,false))</f>
        <v/>
      </c>
      <c r="Q492" s="50" t="str">
        <f>IF(AND($X492="change",$H492="EUR"),IF(AND($Z492="Crédit",$N492=$N493),$Q493,IF(AND($Z492="Débit",$N492=$N491),$Q491)),IF(OR(AND(OR($E492&lt;&gt;"",$L492=""),$M492&lt;&gt;0),$A492=""),IFERROR(VLOOKUP($E492,Selection!$E:$F,2,false)),IFERROR(VLOOKUP(SUBSTITUTE($I492,"-","",1),$K493:$Q1119,7,false),VLOOKUP($K492,$K493:$Q1119,7,false))))</f>
        <v/>
      </c>
      <c r="R492" s="49" t="str">
        <f t="shared" si="2"/>
        <v/>
      </c>
      <c r="S492" s="51" t="str">
        <f t="shared" si="3"/>
        <v/>
      </c>
      <c r="T492" s="52" t="str">
        <f t="shared" si="4"/>
        <v/>
      </c>
      <c r="U492" s="46" t="str">
        <f t="shared" si="5"/>
        <v/>
      </c>
      <c r="V492" s="53" t="str">
        <f>IFERROR(__xludf.DUMMYFUNCTION(" IF(Account!$F492&lt;&gt;"""", SPLIT(Account!$F492, "" ""), """")"),"")</f>
        <v/>
      </c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</row>
    <row r="493">
      <c r="A493" s="11"/>
      <c r="B493" s="11"/>
      <c r="C493" s="11"/>
      <c r="D493" s="11"/>
      <c r="E493" s="11"/>
      <c r="F493" s="12"/>
      <c r="G493" s="215"/>
      <c r="H493" s="11"/>
      <c r="I493" s="11"/>
      <c r="J493" s="11"/>
      <c r="K493" s="11"/>
      <c r="L493" s="45" t="str">
        <f t="shared" si="1"/>
        <v/>
      </c>
      <c r="M493" s="46" t="str">
        <f>IFERROR(__xludf.DUMMYFUNCTION("IF(Account!$F493&lt;&gt;"""", VALUE(REGEXREPLACE($I493, ""\,"", ""."")), """")"),"")</f>
        <v/>
      </c>
      <c r="N493" s="47" t="str">
        <f>IF(Account!$F493&lt;&gt;"", DATEVALUE(MID($A493,4,3) &amp; LEFT($A493,3) &amp; RIGHT($A493,4)) + TIMEVALUE($B493), "")</f>
        <v/>
      </c>
      <c r="O493" s="48" t="str">
        <f>IF(Account!$F493&lt;&gt;"", DATEVALUE(MID($A493,4,3) &amp; LEFT($A493,3) &amp; RIGHT($A493,4)), "")</f>
        <v/>
      </c>
      <c r="P493" s="49" t="str">
        <f>IFERROR(VLOOKUP($Q493,Selection!$F:$G,2,false))</f>
        <v/>
      </c>
      <c r="Q493" s="50" t="str">
        <f>IF(AND($X493="change",$H493="EUR"),IF(AND($Z493="Crédit",$N493=$N494),$Q494,IF(AND($Z493="Débit",$N493=$N492),$Q492)),IF(OR(AND(OR($E493&lt;&gt;"",$L493=""),$M493&lt;&gt;0),$A493=""),IFERROR(VLOOKUP($E493,Selection!$E:$F,2,false)),IFERROR(VLOOKUP(SUBSTITUTE($I493,"-","",1),$K494:$Q1119,7,false),VLOOKUP($K493,$K494:$Q1119,7,false))))</f>
        <v/>
      </c>
      <c r="R493" s="49" t="str">
        <f t="shared" si="2"/>
        <v/>
      </c>
      <c r="S493" s="51" t="str">
        <f t="shared" si="3"/>
        <v/>
      </c>
      <c r="T493" s="52" t="str">
        <f t="shared" si="4"/>
        <v/>
      </c>
      <c r="U493" s="46" t="str">
        <f t="shared" si="5"/>
        <v/>
      </c>
      <c r="V493" s="53" t="str">
        <f>IFERROR(__xludf.DUMMYFUNCTION(" IF(Account!$F493&lt;&gt;"""", SPLIT(Account!$F493, "" ""), """")"),"")</f>
        <v/>
      </c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</row>
    <row r="494">
      <c r="A494" s="11"/>
      <c r="B494" s="11"/>
      <c r="C494" s="11"/>
      <c r="D494" s="215"/>
      <c r="E494" s="215"/>
      <c r="F494" s="12"/>
      <c r="G494" s="215"/>
      <c r="H494" s="11"/>
      <c r="I494" s="11"/>
      <c r="J494" s="11"/>
      <c r="K494" s="11"/>
      <c r="L494" s="45" t="str">
        <f t="shared" si="1"/>
        <v/>
      </c>
      <c r="M494" s="46" t="str">
        <f>IFERROR(__xludf.DUMMYFUNCTION("IF(Account!$F494&lt;&gt;"""", VALUE(REGEXREPLACE($I494, ""\,"", ""."")), """")"),"")</f>
        <v/>
      </c>
      <c r="N494" s="47" t="str">
        <f>IF(Account!$F494&lt;&gt;"", DATEVALUE(MID($A494,4,3) &amp; LEFT($A494,3) &amp; RIGHT($A494,4)) + TIMEVALUE($B494), "")</f>
        <v/>
      </c>
      <c r="O494" s="48" t="str">
        <f>IF(Account!$F494&lt;&gt;"", DATEVALUE(MID($A494,4,3) &amp; LEFT($A494,3) &amp; RIGHT($A494,4)), "")</f>
        <v/>
      </c>
      <c r="P494" s="49" t="str">
        <f>IFERROR(VLOOKUP($Q494,Selection!$F:$G,2,false))</f>
        <v/>
      </c>
      <c r="Q494" s="50" t="str">
        <f>IF(AND($X494="change",$H494="EUR"),IF(AND($Z494="Crédit",$N494=$N495),$Q495,IF(AND($Z494="Débit",$N494=$N493),$Q493)),IF(OR(AND(OR($E494&lt;&gt;"",$L494=""),$M494&lt;&gt;0),$A494=""),IFERROR(VLOOKUP($E494,Selection!$E:$F,2,false)),IFERROR(VLOOKUP(SUBSTITUTE($I494,"-","",1),$K495:$Q1119,7,false),VLOOKUP($K494,$K495:$Q1119,7,false))))</f>
        <v/>
      </c>
      <c r="R494" s="49" t="str">
        <f t="shared" si="2"/>
        <v/>
      </c>
      <c r="S494" s="51" t="str">
        <f t="shared" si="3"/>
        <v/>
      </c>
      <c r="T494" s="52" t="str">
        <f t="shared" si="4"/>
        <v/>
      </c>
      <c r="U494" s="46" t="str">
        <f t="shared" si="5"/>
        <v/>
      </c>
      <c r="V494" s="53" t="str">
        <f>IFERROR(__xludf.DUMMYFUNCTION(" IF(Account!$F494&lt;&gt;"""", SPLIT(Account!$F494, "" ""), """")"),"")</f>
        <v/>
      </c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</row>
    <row r="495">
      <c r="A495" s="11"/>
      <c r="B495" s="11"/>
      <c r="C495" s="11"/>
      <c r="D495" s="215"/>
      <c r="E495" s="215"/>
      <c r="F495" s="12"/>
      <c r="G495" s="215"/>
      <c r="H495" s="11"/>
      <c r="I495" s="11"/>
      <c r="J495" s="11"/>
      <c r="K495" s="11"/>
      <c r="L495" s="45" t="str">
        <f t="shared" si="1"/>
        <v/>
      </c>
      <c r="M495" s="46" t="str">
        <f>IFERROR(__xludf.DUMMYFUNCTION("IF(Account!$F495&lt;&gt;"""", VALUE(REGEXREPLACE($I495, ""\,"", ""."")), """")"),"")</f>
        <v/>
      </c>
      <c r="N495" s="47" t="str">
        <f>IF(Account!$F495&lt;&gt;"", DATEVALUE(MID($A495,4,3) &amp; LEFT($A495,3) &amp; RIGHT($A495,4)) + TIMEVALUE($B495), "")</f>
        <v/>
      </c>
      <c r="O495" s="48" t="str">
        <f>IF(Account!$F495&lt;&gt;"", DATEVALUE(MID($A495,4,3) &amp; LEFT($A495,3) &amp; RIGHT($A495,4)), "")</f>
        <v/>
      </c>
      <c r="P495" s="49" t="str">
        <f>IFERROR(VLOOKUP($Q495,Selection!$F:$G,2,false))</f>
        <v/>
      </c>
      <c r="Q495" s="50" t="str">
        <f>IF(AND($X495="change",$H495="EUR"),IF(AND($Z495="Crédit",$N495=$N496),$Q496,IF(AND($Z495="Débit",$N495=$N494),$Q494)),IF(OR(AND(OR($E495&lt;&gt;"",$L495=""),$M495&lt;&gt;0),$A495=""),IFERROR(VLOOKUP($E495,Selection!$E:$F,2,false)),IFERROR(VLOOKUP(SUBSTITUTE($I495,"-","",1),$K496:$Q1119,7,false),VLOOKUP($K495,$K496:$Q1119,7,false))))</f>
        <v/>
      </c>
      <c r="R495" s="49" t="str">
        <f t="shared" si="2"/>
        <v/>
      </c>
      <c r="S495" s="51" t="str">
        <f t="shared" si="3"/>
        <v/>
      </c>
      <c r="T495" s="52" t="str">
        <f t="shared" si="4"/>
        <v/>
      </c>
      <c r="U495" s="46" t="str">
        <f t="shared" si="5"/>
        <v/>
      </c>
      <c r="V495" s="53" t="str">
        <f>IFERROR(__xludf.DUMMYFUNCTION(" IF(Account!$F495&lt;&gt;"""", SPLIT(Account!$F495, "" ""), """")"),"")</f>
        <v/>
      </c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</row>
    <row r="496">
      <c r="A496" s="11"/>
      <c r="B496" s="11"/>
      <c r="C496" s="11"/>
      <c r="D496" s="215"/>
      <c r="E496" s="215"/>
      <c r="F496" s="12"/>
      <c r="G496" s="215"/>
      <c r="H496" s="11"/>
      <c r="I496" s="11"/>
      <c r="J496" s="11"/>
      <c r="K496" s="11"/>
      <c r="L496" s="45" t="str">
        <f t="shared" si="1"/>
        <v/>
      </c>
      <c r="M496" s="46" t="str">
        <f>IFERROR(__xludf.DUMMYFUNCTION("IF(Account!$F496&lt;&gt;"""", VALUE(REGEXREPLACE($I496, ""\,"", ""."")), """")"),"")</f>
        <v/>
      </c>
      <c r="N496" s="47" t="str">
        <f>IF(Account!$F496&lt;&gt;"", DATEVALUE(MID($A496,4,3) &amp; LEFT($A496,3) &amp; RIGHT($A496,4)) + TIMEVALUE($B496), "")</f>
        <v/>
      </c>
      <c r="O496" s="48" t="str">
        <f>IF(Account!$F496&lt;&gt;"", DATEVALUE(MID($A496,4,3) &amp; LEFT($A496,3) &amp; RIGHT($A496,4)), "")</f>
        <v/>
      </c>
      <c r="P496" s="49" t="str">
        <f>IFERROR(VLOOKUP($Q496,Selection!$F:$G,2,false))</f>
        <v/>
      </c>
      <c r="Q496" s="50" t="str">
        <f>IF(AND($X496="change",$H496="EUR"),IF(AND($Z496="Crédit",$N496=$N497),$Q497,IF(AND($Z496="Débit",$N496=$N495),$Q495)),IF(OR(AND(OR($E496&lt;&gt;"",$L496=""),$M496&lt;&gt;0),$A496=""),IFERROR(VLOOKUP($E496,Selection!$E:$F,2,false)),IFERROR(VLOOKUP(SUBSTITUTE($I496,"-","",1),$K497:$Q1119,7,false),VLOOKUP($K496,$K497:$Q1119,7,false))))</f>
        <v/>
      </c>
      <c r="R496" s="49" t="str">
        <f t="shared" si="2"/>
        <v/>
      </c>
      <c r="S496" s="51" t="str">
        <f t="shared" si="3"/>
        <v/>
      </c>
      <c r="T496" s="52" t="str">
        <f t="shared" si="4"/>
        <v/>
      </c>
      <c r="U496" s="46" t="str">
        <f t="shared" si="5"/>
        <v/>
      </c>
      <c r="V496" s="53" t="str">
        <f>IFERROR(__xludf.DUMMYFUNCTION(" IF(Account!$F496&lt;&gt;"""", SPLIT(Account!$F496, "" ""), """")"),"")</f>
        <v/>
      </c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</row>
    <row r="497">
      <c r="A497" s="11"/>
      <c r="B497" s="11"/>
      <c r="C497" s="11"/>
      <c r="D497" s="11"/>
      <c r="E497" s="11"/>
      <c r="F497" s="12"/>
      <c r="G497" s="215"/>
      <c r="H497" s="215"/>
      <c r="I497" s="215"/>
      <c r="J497" s="11"/>
      <c r="K497" s="11"/>
      <c r="L497" s="45" t="str">
        <f t="shared" si="1"/>
        <v/>
      </c>
      <c r="M497" s="46" t="str">
        <f>IFERROR(__xludf.DUMMYFUNCTION("IF(Account!$F497&lt;&gt;"""", VALUE(REGEXREPLACE($I497, ""\,"", ""."")), """")"),"")</f>
        <v/>
      </c>
      <c r="N497" s="47" t="str">
        <f>IF(Account!$F497&lt;&gt;"", DATEVALUE(MID($A497,4,3) &amp; LEFT($A497,3) &amp; RIGHT($A497,4)) + TIMEVALUE($B497), "")</f>
        <v/>
      </c>
      <c r="O497" s="48" t="str">
        <f>IF(Account!$F497&lt;&gt;"", DATEVALUE(MID($A497,4,3) &amp; LEFT($A497,3) &amp; RIGHT($A497,4)), "")</f>
        <v/>
      </c>
      <c r="P497" s="49" t="str">
        <f>IFERROR(VLOOKUP($Q497,Selection!$F:$G,2,false))</f>
        <v/>
      </c>
      <c r="Q497" s="50" t="str">
        <f>IF(AND($X497="change",$H497="EUR"),IF(AND($Z497="Crédit",$N497=$N498),$Q498,IF(AND($Z497="Débit",$N497=$N496),$Q496)),IF(OR(AND(OR($E497&lt;&gt;"",$L497=""),$M497&lt;&gt;0),$A497=""),IFERROR(VLOOKUP($E497,Selection!$E:$F,2,false)),IFERROR(VLOOKUP(SUBSTITUTE($I497,"-","",1),$K498:$Q1119,7,false),VLOOKUP($K497,$K498:$Q1119,7,false))))</f>
        <v/>
      </c>
      <c r="R497" s="49" t="str">
        <f t="shared" si="2"/>
        <v/>
      </c>
      <c r="S497" s="51" t="str">
        <f t="shared" si="3"/>
        <v/>
      </c>
      <c r="T497" s="52" t="str">
        <f t="shared" si="4"/>
        <v/>
      </c>
      <c r="U497" s="46" t="str">
        <f t="shared" si="5"/>
        <v/>
      </c>
      <c r="V497" s="53" t="str">
        <f>IFERROR(__xludf.DUMMYFUNCTION(" IF(Account!$F497&lt;&gt;"""", SPLIT(Account!$F497, "" ""), """")"),"")</f>
        <v/>
      </c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</row>
    <row r="498">
      <c r="A498" s="11"/>
      <c r="B498" s="11"/>
      <c r="C498" s="11"/>
      <c r="D498" s="11"/>
      <c r="E498" s="11"/>
      <c r="F498" s="12"/>
      <c r="G498" s="11"/>
      <c r="H498" s="11"/>
      <c r="I498" s="11"/>
      <c r="J498" s="11"/>
      <c r="K498" s="11"/>
      <c r="L498" s="45" t="str">
        <f t="shared" si="1"/>
        <v/>
      </c>
      <c r="M498" s="46" t="str">
        <f>IFERROR(__xludf.DUMMYFUNCTION("IF(Account!$F498&lt;&gt;"""", VALUE(REGEXREPLACE($I498, ""\,"", ""."")), """")"),"")</f>
        <v/>
      </c>
      <c r="N498" s="47" t="str">
        <f>IF(Account!$F498&lt;&gt;"", DATEVALUE(MID($A498,4,3) &amp; LEFT($A498,3) &amp; RIGHT($A498,4)) + TIMEVALUE($B498), "")</f>
        <v/>
      </c>
      <c r="O498" s="48" t="str">
        <f>IF(Account!$F498&lt;&gt;"", DATEVALUE(MID($A498,4,3) &amp; LEFT($A498,3) &amp; RIGHT($A498,4)), "")</f>
        <v/>
      </c>
      <c r="P498" s="49" t="str">
        <f>IFERROR(VLOOKUP($Q498,Selection!$F:$G,2,false))</f>
        <v/>
      </c>
      <c r="Q498" s="50" t="str">
        <f>IF(AND($X498="change",$H498="EUR"),IF(AND($Z498="Crédit",$N498=$N499),$Q499,IF(AND($Z498="Débit",$N498=$N497),$Q497)),IF(OR(AND(OR($E498&lt;&gt;"",$L498=""),$M498&lt;&gt;0),$A498=""),IFERROR(VLOOKUP($E498,Selection!$E:$F,2,false)),IFERROR(VLOOKUP(SUBSTITUTE($I498,"-","",1),$K499:$Q1119,7,false),VLOOKUP($K498,$K499:$Q1119,7,false))))</f>
        <v/>
      </c>
      <c r="R498" s="49" t="str">
        <f t="shared" si="2"/>
        <v/>
      </c>
      <c r="S498" s="51" t="str">
        <f t="shared" si="3"/>
        <v/>
      </c>
      <c r="T498" s="52" t="str">
        <f t="shared" si="4"/>
        <v/>
      </c>
      <c r="U498" s="46" t="str">
        <f t="shared" si="5"/>
        <v/>
      </c>
      <c r="V498" s="53" t="str">
        <f>IFERROR(__xludf.DUMMYFUNCTION(" IF(Account!$F498&lt;&gt;"""", SPLIT(Account!$F498, "" ""), """")"),"")</f>
        <v/>
      </c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</row>
    <row r="499">
      <c r="A499" s="11"/>
      <c r="B499" s="11"/>
      <c r="C499" s="11"/>
      <c r="D499" s="11"/>
      <c r="E499" s="11"/>
      <c r="F499" s="12"/>
      <c r="G499" s="215"/>
      <c r="H499" s="11"/>
      <c r="I499" s="11"/>
      <c r="J499" s="11"/>
      <c r="K499" s="11"/>
      <c r="L499" s="45" t="str">
        <f t="shared" si="1"/>
        <v/>
      </c>
      <c r="M499" s="46" t="str">
        <f>IFERROR(__xludf.DUMMYFUNCTION("IF(Account!$F499&lt;&gt;"""", VALUE(REGEXREPLACE($I499, ""\,"", ""."")), """")"),"")</f>
        <v/>
      </c>
      <c r="N499" s="47" t="str">
        <f>IF(Account!$F499&lt;&gt;"", DATEVALUE(MID($A499,4,3) &amp; LEFT($A499,3) &amp; RIGHT($A499,4)) + TIMEVALUE($B499), "")</f>
        <v/>
      </c>
      <c r="O499" s="48" t="str">
        <f>IF(Account!$F499&lt;&gt;"", DATEVALUE(MID($A499,4,3) &amp; LEFT($A499,3) &amp; RIGHT($A499,4)), "")</f>
        <v/>
      </c>
      <c r="P499" s="49" t="str">
        <f>IFERROR(VLOOKUP($Q499,Selection!$F:$G,2,false))</f>
        <v/>
      </c>
      <c r="Q499" s="50" t="str">
        <f>IF(AND($X499="change",$H499="EUR"),IF(AND($Z499="Crédit",$N499=$N500),$Q500,IF(AND($Z499="Débit",$N499=$N498),$Q498)),IF(OR(AND(OR($E499&lt;&gt;"",$L499=""),$M499&lt;&gt;0),$A499=""),IFERROR(VLOOKUP($E499,Selection!$E:$F,2,false)),IFERROR(VLOOKUP(SUBSTITUTE($I499,"-","",1),$K500:$Q1119,7,false),VLOOKUP($K499,$K500:$Q1119,7,false))))</f>
        <v/>
      </c>
      <c r="R499" s="49" t="str">
        <f t="shared" si="2"/>
        <v/>
      </c>
      <c r="S499" s="51" t="str">
        <f t="shared" si="3"/>
        <v/>
      </c>
      <c r="T499" s="52" t="str">
        <f t="shared" si="4"/>
        <v/>
      </c>
      <c r="U499" s="46" t="str">
        <f t="shared" si="5"/>
        <v/>
      </c>
      <c r="V499" s="53" t="str">
        <f>IFERROR(__xludf.DUMMYFUNCTION(" IF(Account!$F499&lt;&gt;"""", SPLIT(Account!$F499, "" ""), """")"),"")</f>
        <v/>
      </c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</row>
    <row r="500">
      <c r="A500" s="11"/>
      <c r="B500" s="11"/>
      <c r="C500" s="11"/>
      <c r="D500" s="11"/>
      <c r="E500" s="11"/>
      <c r="F500" s="12"/>
      <c r="G500" s="11"/>
      <c r="H500" s="11"/>
      <c r="I500" s="11"/>
      <c r="J500" s="11"/>
      <c r="K500" s="11"/>
      <c r="L500" s="45" t="str">
        <f t="shared" si="1"/>
        <v/>
      </c>
      <c r="M500" s="46" t="str">
        <f>IFERROR(__xludf.DUMMYFUNCTION("IF(Account!$F500&lt;&gt;"""", VALUE(REGEXREPLACE($I500, ""\,"", ""."")), """")"),"")</f>
        <v/>
      </c>
      <c r="N500" s="47" t="str">
        <f>IF(Account!$F500&lt;&gt;"", DATEVALUE(MID($A500,4,3) &amp; LEFT($A500,3) &amp; RIGHT($A500,4)) + TIMEVALUE($B500), "")</f>
        <v/>
      </c>
      <c r="O500" s="48" t="str">
        <f>IF(Account!$F500&lt;&gt;"", DATEVALUE(MID($A500,4,3) &amp; LEFT($A500,3) &amp; RIGHT($A500,4)), "")</f>
        <v/>
      </c>
      <c r="P500" s="49" t="str">
        <f>IFERROR(VLOOKUP($Q500,Selection!$F:$G,2,false))</f>
        <v/>
      </c>
      <c r="Q500" s="50" t="str">
        <f>IF(AND($X500="change",$H500="EUR"),IF(AND($Z500="Crédit",$N500=$N501),$Q501,IF(AND($Z500="Débit",$N500=$N499),$Q499)),IF(OR(AND(OR($E500&lt;&gt;"",$L500=""),$M500&lt;&gt;0),$A500=""),IFERROR(VLOOKUP($E500,Selection!$E:$F,2,false)),IFERROR(VLOOKUP(SUBSTITUTE($I500,"-","",1),$K501:$Q1119,7,false),VLOOKUP($K500,$K501:$Q1119,7,false))))</f>
        <v/>
      </c>
      <c r="R500" s="49" t="str">
        <f t="shared" si="2"/>
        <v/>
      </c>
      <c r="S500" s="51" t="str">
        <f t="shared" si="3"/>
        <v/>
      </c>
      <c r="T500" s="52" t="str">
        <f t="shared" si="4"/>
        <v/>
      </c>
      <c r="U500" s="46" t="str">
        <f t="shared" si="5"/>
        <v/>
      </c>
      <c r="V500" s="53" t="str">
        <f>IFERROR(__xludf.DUMMYFUNCTION(" IF(Account!$F500&lt;&gt;"""", SPLIT(Account!$F500, "" ""), """")"),"")</f>
        <v/>
      </c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</row>
    <row r="501">
      <c r="A501" s="11"/>
      <c r="B501" s="11"/>
      <c r="C501" s="11"/>
      <c r="D501" s="11"/>
      <c r="E501" s="11"/>
      <c r="F501" s="12"/>
      <c r="G501" s="215"/>
      <c r="H501" s="11"/>
      <c r="I501" s="11"/>
      <c r="J501" s="11"/>
      <c r="K501" s="11"/>
      <c r="L501" s="45" t="str">
        <f t="shared" si="1"/>
        <v/>
      </c>
      <c r="M501" s="46" t="str">
        <f>IFERROR(__xludf.DUMMYFUNCTION("IF(Account!$F501&lt;&gt;"""", VALUE(REGEXREPLACE($I501, ""\,"", ""."")), """")"),"")</f>
        <v/>
      </c>
      <c r="N501" s="47" t="str">
        <f>IF(Account!$F501&lt;&gt;"", DATEVALUE(MID($A501,4,3) &amp; LEFT($A501,3) &amp; RIGHT($A501,4)) + TIMEVALUE($B501), "")</f>
        <v/>
      </c>
      <c r="O501" s="48" t="str">
        <f>IF(Account!$F501&lt;&gt;"", DATEVALUE(MID($A501,4,3) &amp; LEFT($A501,3) &amp; RIGHT($A501,4)), "")</f>
        <v/>
      </c>
      <c r="P501" s="49" t="str">
        <f>IFERROR(VLOOKUP($Q501,Selection!$F:$G,2,false))</f>
        <v/>
      </c>
      <c r="Q501" s="50" t="str">
        <f>IF(AND($X501="change",$H501="EUR"),IF(AND($Z501="Crédit",$N501=$N502),$Q502,IF(AND($Z501="Débit",$N501=$N500),$Q500)),IF(OR(AND(OR($E501&lt;&gt;"",$L501=""),$M501&lt;&gt;0),$A501=""),IFERROR(VLOOKUP($E501,Selection!$E:$F,2,false)),IFERROR(VLOOKUP(SUBSTITUTE($I501,"-","",1),$K502:$Q1119,7,false),VLOOKUP($K501,$K502:$Q1119,7,false))))</f>
        <v/>
      </c>
      <c r="R501" s="49" t="str">
        <f t="shared" si="2"/>
        <v/>
      </c>
      <c r="S501" s="51" t="str">
        <f t="shared" si="3"/>
        <v/>
      </c>
      <c r="T501" s="52" t="str">
        <f t="shared" si="4"/>
        <v/>
      </c>
      <c r="U501" s="46" t="str">
        <f t="shared" si="5"/>
        <v/>
      </c>
      <c r="V501" s="53" t="str">
        <f>IFERROR(__xludf.DUMMYFUNCTION(" IF(Account!$F501&lt;&gt;"""", SPLIT(Account!$F501, "" ""), """")"),"")</f>
        <v/>
      </c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</row>
    <row r="502">
      <c r="A502" s="11"/>
      <c r="B502" s="11"/>
      <c r="C502" s="11"/>
      <c r="D502" s="11"/>
      <c r="E502" s="11"/>
      <c r="F502" s="12"/>
      <c r="G502" s="215"/>
      <c r="H502" s="11"/>
      <c r="I502" s="11"/>
      <c r="J502" s="11"/>
      <c r="K502" s="11"/>
      <c r="L502" s="45" t="str">
        <f t="shared" si="1"/>
        <v/>
      </c>
      <c r="M502" s="46" t="str">
        <f>IFERROR(__xludf.DUMMYFUNCTION("IF(Account!$F502&lt;&gt;"""", VALUE(REGEXREPLACE($I502, ""\,"", ""."")), """")"),"")</f>
        <v/>
      </c>
      <c r="N502" s="47" t="str">
        <f>IF(Account!$F502&lt;&gt;"", DATEVALUE(MID($A502,4,3) &amp; LEFT($A502,3) &amp; RIGHT($A502,4)) + TIMEVALUE($B502), "")</f>
        <v/>
      </c>
      <c r="O502" s="48" t="str">
        <f>IF(Account!$F502&lt;&gt;"", DATEVALUE(MID($A502,4,3) &amp; LEFT($A502,3) &amp; RIGHT($A502,4)), "")</f>
        <v/>
      </c>
      <c r="P502" s="49" t="str">
        <f>IFERROR(VLOOKUP($Q502,Selection!$F:$G,2,false))</f>
        <v/>
      </c>
      <c r="Q502" s="50" t="str">
        <f>IF(AND($X502="change",$H502="EUR"),IF(AND($Z502="Crédit",$N502=$N503),$Q503,IF(AND($Z502="Débit",$N502=$N501),$Q501)),IF(OR(AND(OR($E502&lt;&gt;"",$L502=""),$M502&lt;&gt;0),$A502=""),IFERROR(VLOOKUP($E502,Selection!$E:$F,2,false)),IFERROR(VLOOKUP(SUBSTITUTE($I502,"-","",1),$K503:$Q1119,7,false),VLOOKUP($K502,$K503:$Q1119,7,false))))</f>
        <v/>
      </c>
      <c r="R502" s="49" t="str">
        <f t="shared" si="2"/>
        <v/>
      </c>
      <c r="S502" s="51" t="str">
        <f t="shared" si="3"/>
        <v/>
      </c>
      <c r="T502" s="52" t="str">
        <f t="shared" si="4"/>
        <v/>
      </c>
      <c r="U502" s="46" t="str">
        <f t="shared" si="5"/>
        <v/>
      </c>
      <c r="V502" s="53" t="str">
        <f>IFERROR(__xludf.DUMMYFUNCTION(" IF(Account!$F502&lt;&gt;"""", SPLIT(Account!$F502, "" ""), """")"),"")</f>
        <v/>
      </c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</row>
    <row r="503">
      <c r="A503" s="11"/>
      <c r="B503" s="11"/>
      <c r="C503" s="11"/>
      <c r="D503" s="11"/>
      <c r="E503" s="11"/>
      <c r="F503" s="12"/>
      <c r="G503" s="215"/>
      <c r="H503" s="11"/>
      <c r="I503" s="11"/>
      <c r="J503" s="11"/>
      <c r="K503" s="11"/>
      <c r="L503" s="45" t="str">
        <f t="shared" si="1"/>
        <v/>
      </c>
      <c r="M503" s="46" t="str">
        <f>IFERROR(__xludf.DUMMYFUNCTION("IF(Account!$F503&lt;&gt;"""", VALUE(REGEXREPLACE($I503, ""\,"", ""."")), """")"),"")</f>
        <v/>
      </c>
      <c r="N503" s="47" t="str">
        <f>IF(Account!$F503&lt;&gt;"", DATEVALUE(MID($A503,4,3) &amp; LEFT($A503,3) &amp; RIGHT($A503,4)) + TIMEVALUE($B503), "")</f>
        <v/>
      </c>
      <c r="O503" s="48" t="str">
        <f>IF(Account!$F503&lt;&gt;"", DATEVALUE(MID($A503,4,3) &amp; LEFT($A503,3) &amp; RIGHT($A503,4)), "")</f>
        <v/>
      </c>
      <c r="P503" s="49" t="str">
        <f>IFERROR(VLOOKUP($Q503,Selection!$F:$G,2,false))</f>
        <v/>
      </c>
      <c r="Q503" s="50" t="str">
        <f>IF(AND($X503="change",$H503="EUR"),IF(AND($Z503="Crédit",$N503=$N504),$Q504,IF(AND($Z503="Débit",$N503=$N502),$Q502)),IF(OR(AND(OR($E503&lt;&gt;"",$L503=""),$M503&lt;&gt;0),$A503=""),IFERROR(VLOOKUP($E503,Selection!$E:$F,2,false)),IFERROR(VLOOKUP(SUBSTITUTE($I503,"-","",1),$K504:$Q1119,7,false),VLOOKUP($K503,$K504:$Q1119,7,false))))</f>
        <v/>
      </c>
      <c r="R503" s="49" t="str">
        <f t="shared" si="2"/>
        <v/>
      </c>
      <c r="S503" s="51" t="str">
        <f t="shared" si="3"/>
        <v/>
      </c>
      <c r="T503" s="52" t="str">
        <f t="shared" si="4"/>
        <v/>
      </c>
      <c r="U503" s="46" t="str">
        <f t="shared" si="5"/>
        <v/>
      </c>
      <c r="V503" s="53" t="str">
        <f>IFERROR(__xludf.DUMMYFUNCTION(" IF(Account!$F503&lt;&gt;"""", SPLIT(Account!$F503, "" ""), """")"),"")</f>
        <v/>
      </c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</row>
    <row r="504">
      <c r="A504" s="11"/>
      <c r="B504" s="11"/>
      <c r="C504" s="11"/>
      <c r="D504" s="11"/>
      <c r="E504" s="11"/>
      <c r="F504" s="12"/>
      <c r="G504" s="11"/>
      <c r="H504" s="11"/>
      <c r="I504" s="11"/>
      <c r="J504" s="11"/>
      <c r="K504" s="11"/>
      <c r="L504" s="45" t="str">
        <f t="shared" si="1"/>
        <v/>
      </c>
      <c r="M504" s="46" t="str">
        <f>IFERROR(__xludf.DUMMYFUNCTION("IF(Account!$F504&lt;&gt;"""", VALUE(REGEXREPLACE($I504, ""\,"", ""."")), """")"),"")</f>
        <v/>
      </c>
      <c r="N504" s="47" t="str">
        <f>IF(Account!$F504&lt;&gt;"", DATEVALUE(MID($A504,4,3) &amp; LEFT($A504,3) &amp; RIGHT($A504,4)) + TIMEVALUE($B504), "")</f>
        <v/>
      </c>
      <c r="O504" s="48" t="str">
        <f>IF(Account!$F504&lt;&gt;"", DATEVALUE(MID($A504,4,3) &amp; LEFT($A504,3) &amp; RIGHT($A504,4)), "")</f>
        <v/>
      </c>
      <c r="P504" s="49" t="str">
        <f>IFERROR(VLOOKUP($Q504,Selection!$F:$G,2,false))</f>
        <v/>
      </c>
      <c r="Q504" s="50" t="str">
        <f>IF(AND($X504="change",$H504="EUR"),IF(AND($Z504="Crédit",$N504=$N505),$Q505,IF(AND($Z504="Débit",$N504=$N503),$Q503)),IF(OR(AND(OR($E504&lt;&gt;"",$L504=""),$M504&lt;&gt;0),$A504=""),IFERROR(VLOOKUP($E504,Selection!$E:$F,2,false)),IFERROR(VLOOKUP(SUBSTITUTE($I504,"-","",1),$K505:$Q1119,7,false),VLOOKUP($K504,$K505:$Q1119,7,false))))</f>
        <v/>
      </c>
      <c r="R504" s="49" t="str">
        <f t="shared" si="2"/>
        <v/>
      </c>
      <c r="S504" s="51" t="str">
        <f t="shared" si="3"/>
        <v/>
      </c>
      <c r="T504" s="52" t="str">
        <f t="shared" si="4"/>
        <v/>
      </c>
      <c r="U504" s="46" t="str">
        <f t="shared" si="5"/>
        <v/>
      </c>
      <c r="V504" s="53" t="str">
        <f>IFERROR(__xludf.DUMMYFUNCTION(" IF(Account!$F504&lt;&gt;"""", SPLIT(Account!$F504, "" ""), """")"),"")</f>
        <v/>
      </c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</row>
    <row r="505">
      <c r="A505" s="11"/>
      <c r="B505" s="11"/>
      <c r="C505" s="11"/>
      <c r="D505" s="11"/>
      <c r="E505" s="11"/>
      <c r="F505" s="12"/>
      <c r="G505" s="215"/>
      <c r="H505" s="11"/>
      <c r="I505" s="11"/>
      <c r="J505" s="11"/>
      <c r="K505" s="11"/>
      <c r="L505" s="45" t="str">
        <f t="shared" si="1"/>
        <v/>
      </c>
      <c r="M505" s="46" t="str">
        <f>IFERROR(__xludf.DUMMYFUNCTION("IF(Account!$F505&lt;&gt;"""", VALUE(REGEXREPLACE($I505, ""\,"", ""."")), """")"),"")</f>
        <v/>
      </c>
      <c r="N505" s="47" t="str">
        <f>IF(Account!$F505&lt;&gt;"", DATEVALUE(MID($A505,4,3) &amp; LEFT($A505,3) &amp; RIGHT($A505,4)) + TIMEVALUE($B505), "")</f>
        <v/>
      </c>
      <c r="O505" s="48" t="str">
        <f>IF(Account!$F505&lt;&gt;"", DATEVALUE(MID($A505,4,3) &amp; LEFT($A505,3) &amp; RIGHT($A505,4)), "")</f>
        <v/>
      </c>
      <c r="P505" s="49" t="str">
        <f>IFERROR(VLOOKUP($Q505,Selection!$F:$G,2,false))</f>
        <v/>
      </c>
      <c r="Q505" s="50" t="str">
        <f>IF(AND($X505="change",$H505="EUR"),IF(AND($Z505="Crédit",$N505=$N506),$Q506,IF(AND($Z505="Débit",$N505=$N504),$Q504)),IF(OR(AND(OR($E505&lt;&gt;"",$L505=""),$M505&lt;&gt;0),$A505=""),IFERROR(VLOOKUP($E505,Selection!$E:$F,2,false)),IFERROR(VLOOKUP(SUBSTITUTE($I505,"-","",1),$K506:$Q1119,7,false),VLOOKUP($K505,$K506:$Q1119,7,false))))</f>
        <v/>
      </c>
      <c r="R505" s="49" t="str">
        <f t="shared" si="2"/>
        <v/>
      </c>
      <c r="S505" s="51" t="str">
        <f t="shared" si="3"/>
        <v/>
      </c>
      <c r="T505" s="52" t="str">
        <f t="shared" si="4"/>
        <v/>
      </c>
      <c r="U505" s="46" t="str">
        <f t="shared" si="5"/>
        <v/>
      </c>
      <c r="V505" s="53" t="str">
        <f>IFERROR(__xludf.DUMMYFUNCTION(" IF(Account!$F505&lt;&gt;"""", SPLIT(Account!$F505, "" ""), """")"),"")</f>
        <v/>
      </c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</row>
    <row r="506">
      <c r="A506" s="11"/>
      <c r="B506" s="11"/>
      <c r="C506" s="11"/>
      <c r="D506" s="11"/>
      <c r="E506" s="11"/>
      <c r="F506" s="12"/>
      <c r="G506" s="11"/>
      <c r="H506" s="11"/>
      <c r="I506" s="11"/>
      <c r="J506" s="11"/>
      <c r="K506" s="11"/>
      <c r="L506" s="45" t="str">
        <f t="shared" si="1"/>
        <v/>
      </c>
      <c r="M506" s="46" t="str">
        <f>IFERROR(__xludf.DUMMYFUNCTION("IF(Account!$F506&lt;&gt;"""", VALUE(REGEXREPLACE($I506, ""\,"", ""."")), """")"),"")</f>
        <v/>
      </c>
      <c r="N506" s="47" t="str">
        <f>IF(Account!$F506&lt;&gt;"", DATEVALUE(MID($A506,4,3) &amp; LEFT($A506,3) &amp; RIGHT($A506,4)) + TIMEVALUE($B506), "")</f>
        <v/>
      </c>
      <c r="O506" s="48" t="str">
        <f>IF(Account!$F506&lt;&gt;"", DATEVALUE(MID($A506,4,3) &amp; LEFT($A506,3) &amp; RIGHT($A506,4)), "")</f>
        <v/>
      </c>
      <c r="P506" s="49" t="str">
        <f>IFERROR(VLOOKUP($Q506,Selection!$F:$G,2,false))</f>
        <v/>
      </c>
      <c r="Q506" s="50" t="str">
        <f>IF(AND($X506="change",$H506="EUR"),IF(AND($Z506="Crédit",$N506=$N507),$Q507,IF(AND($Z506="Débit",$N506=$N505),$Q505)),IF(OR(AND(OR($E506&lt;&gt;"",$L506=""),$M506&lt;&gt;0),$A506=""),IFERROR(VLOOKUP($E506,Selection!$E:$F,2,false)),IFERROR(VLOOKUP(SUBSTITUTE($I506,"-","",1),$K507:$Q1119,7,false),VLOOKUP($K506,$K507:$Q1119,7,false))))</f>
        <v/>
      </c>
      <c r="R506" s="49" t="str">
        <f t="shared" si="2"/>
        <v/>
      </c>
      <c r="S506" s="51" t="str">
        <f t="shared" si="3"/>
        <v/>
      </c>
      <c r="T506" s="52" t="str">
        <f t="shared" si="4"/>
        <v/>
      </c>
      <c r="U506" s="46" t="str">
        <f t="shared" si="5"/>
        <v/>
      </c>
      <c r="V506" s="53" t="str">
        <f>IFERROR(__xludf.DUMMYFUNCTION(" IF(Account!$F506&lt;&gt;"""", SPLIT(Account!$F506, "" ""), """")"),"")</f>
        <v/>
      </c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</row>
    <row r="507">
      <c r="A507" s="11"/>
      <c r="B507" s="11"/>
      <c r="C507" s="11"/>
      <c r="D507" s="11"/>
      <c r="E507" s="11"/>
      <c r="F507" s="12"/>
      <c r="G507" s="215"/>
      <c r="H507" s="11"/>
      <c r="I507" s="11"/>
      <c r="J507" s="11"/>
      <c r="K507" s="11"/>
      <c r="L507" s="45" t="str">
        <f t="shared" si="1"/>
        <v/>
      </c>
      <c r="M507" s="46" t="str">
        <f>IFERROR(__xludf.DUMMYFUNCTION("IF(Account!$F507&lt;&gt;"""", VALUE(REGEXREPLACE($I507, ""\,"", ""."")), """")"),"")</f>
        <v/>
      </c>
      <c r="N507" s="47" t="str">
        <f>IF(Account!$F507&lt;&gt;"", DATEVALUE(MID($A507,4,3) &amp; LEFT($A507,3) &amp; RIGHT($A507,4)) + TIMEVALUE($B507), "")</f>
        <v/>
      </c>
      <c r="O507" s="48" t="str">
        <f>IF(Account!$F507&lt;&gt;"", DATEVALUE(MID($A507,4,3) &amp; LEFT($A507,3) &amp; RIGHT($A507,4)), "")</f>
        <v/>
      </c>
      <c r="P507" s="49" t="str">
        <f>IFERROR(VLOOKUP($Q507,Selection!$F:$G,2,false))</f>
        <v/>
      </c>
      <c r="Q507" s="50" t="str">
        <f>IF(AND($X507="change",$H507="EUR"),IF(AND($Z507="Crédit",$N507=$N508),$Q508,IF(AND($Z507="Débit",$N507=$N506),$Q506)),IF(OR(AND(OR($E507&lt;&gt;"",$L507=""),$M507&lt;&gt;0),$A507=""),IFERROR(VLOOKUP($E507,Selection!$E:$F,2,false)),IFERROR(VLOOKUP(SUBSTITUTE($I507,"-","",1),$K508:$Q1119,7,false),VLOOKUP($K507,$K508:$Q1119,7,false))))</f>
        <v/>
      </c>
      <c r="R507" s="49" t="str">
        <f t="shared" si="2"/>
        <v/>
      </c>
      <c r="S507" s="51" t="str">
        <f t="shared" si="3"/>
        <v/>
      </c>
      <c r="T507" s="52" t="str">
        <f t="shared" si="4"/>
        <v/>
      </c>
      <c r="U507" s="46" t="str">
        <f t="shared" si="5"/>
        <v/>
      </c>
      <c r="V507" s="53" t="str">
        <f>IFERROR(__xludf.DUMMYFUNCTION(" IF(Account!$F507&lt;&gt;"""", SPLIT(Account!$F507, "" ""), """")"),"")</f>
        <v/>
      </c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</row>
    <row r="508">
      <c r="A508" s="11"/>
      <c r="B508" s="11"/>
      <c r="C508" s="11"/>
      <c r="D508" s="11"/>
      <c r="E508" s="11"/>
      <c r="F508" s="12"/>
      <c r="G508" s="215"/>
      <c r="H508" s="11"/>
      <c r="I508" s="11"/>
      <c r="J508" s="11"/>
      <c r="K508" s="11"/>
      <c r="L508" s="45" t="str">
        <f t="shared" si="1"/>
        <v/>
      </c>
      <c r="M508" s="46" t="str">
        <f>IFERROR(__xludf.DUMMYFUNCTION("IF(Account!$F508&lt;&gt;"""", VALUE(REGEXREPLACE($I508, ""\,"", ""."")), """")"),"")</f>
        <v/>
      </c>
      <c r="N508" s="47" t="str">
        <f>IF(Account!$F508&lt;&gt;"", DATEVALUE(MID($A508,4,3) &amp; LEFT($A508,3) &amp; RIGHT($A508,4)) + TIMEVALUE($B508), "")</f>
        <v/>
      </c>
      <c r="O508" s="48" t="str">
        <f>IF(Account!$F508&lt;&gt;"", DATEVALUE(MID($A508,4,3) &amp; LEFT($A508,3) &amp; RIGHT($A508,4)), "")</f>
        <v/>
      </c>
      <c r="P508" s="49" t="str">
        <f>IFERROR(VLOOKUP($Q508,Selection!$F:$G,2,false))</f>
        <v/>
      </c>
      <c r="Q508" s="50" t="str">
        <f>IF(AND($X508="change",$H508="EUR"),IF(AND($Z508="Crédit",$N508=$N509),$Q509,IF(AND($Z508="Débit",$N508=$N507),$Q507)),IF(OR(AND(OR($E508&lt;&gt;"",$L508=""),$M508&lt;&gt;0),$A508=""),IFERROR(VLOOKUP($E508,Selection!$E:$F,2,false)),IFERROR(VLOOKUP(SUBSTITUTE($I508,"-","",1),$K509:$Q1119,7,false),VLOOKUP($K508,$K509:$Q1119,7,false))))</f>
        <v/>
      </c>
      <c r="R508" s="49" t="str">
        <f t="shared" si="2"/>
        <v/>
      </c>
      <c r="S508" s="51" t="str">
        <f t="shared" si="3"/>
        <v/>
      </c>
      <c r="T508" s="52" t="str">
        <f t="shared" si="4"/>
        <v/>
      </c>
      <c r="U508" s="46" t="str">
        <f t="shared" si="5"/>
        <v/>
      </c>
      <c r="V508" s="53" t="str">
        <f>IFERROR(__xludf.DUMMYFUNCTION(" IF(Account!$F508&lt;&gt;"""", SPLIT(Account!$F508, "" ""), """")"),"")</f>
        <v/>
      </c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</row>
    <row r="509">
      <c r="A509" s="11"/>
      <c r="B509" s="11"/>
      <c r="C509" s="11"/>
      <c r="D509" s="11"/>
      <c r="E509" s="11"/>
      <c r="F509" s="12"/>
      <c r="G509" s="215"/>
      <c r="H509" s="11"/>
      <c r="I509" s="11"/>
      <c r="J509" s="11"/>
      <c r="K509" s="11"/>
      <c r="L509" s="45" t="str">
        <f t="shared" si="1"/>
        <v/>
      </c>
      <c r="M509" s="46" t="str">
        <f>IFERROR(__xludf.DUMMYFUNCTION("IF(Account!$F509&lt;&gt;"""", VALUE(REGEXREPLACE($I509, ""\,"", ""."")), """")"),"")</f>
        <v/>
      </c>
      <c r="N509" s="47" t="str">
        <f>IF(Account!$F509&lt;&gt;"", DATEVALUE(MID($A509,4,3) &amp; LEFT($A509,3) &amp; RIGHT($A509,4)) + TIMEVALUE($B509), "")</f>
        <v/>
      </c>
      <c r="O509" s="48" t="str">
        <f>IF(Account!$F509&lt;&gt;"", DATEVALUE(MID($A509,4,3) &amp; LEFT($A509,3) &amp; RIGHT($A509,4)), "")</f>
        <v/>
      </c>
      <c r="P509" s="49" t="str">
        <f>IFERROR(VLOOKUP($Q509,Selection!$F:$G,2,false))</f>
        <v/>
      </c>
      <c r="Q509" s="50" t="str">
        <f>IF(AND($X509="change",$H509="EUR"),IF(AND($Z509="Crédit",$N509=$N510),$Q510,IF(AND($Z509="Débit",$N509=$N508),$Q508)),IF(OR(AND(OR($E509&lt;&gt;"",$L509=""),$M509&lt;&gt;0),$A509=""),IFERROR(VLOOKUP($E509,Selection!$E:$F,2,false)),IFERROR(VLOOKUP(SUBSTITUTE($I509,"-","",1),$K510:$Q1119,7,false),VLOOKUP($K509,$K510:$Q1119,7,false))))</f>
        <v/>
      </c>
      <c r="R509" s="49" t="str">
        <f t="shared" si="2"/>
        <v/>
      </c>
      <c r="S509" s="51" t="str">
        <f t="shared" si="3"/>
        <v/>
      </c>
      <c r="T509" s="52" t="str">
        <f t="shared" si="4"/>
        <v/>
      </c>
      <c r="U509" s="46" t="str">
        <f t="shared" si="5"/>
        <v/>
      </c>
      <c r="V509" s="53" t="str">
        <f>IFERROR(__xludf.DUMMYFUNCTION(" IF(Account!$F509&lt;&gt;"""", SPLIT(Account!$F509, "" ""), """")"),"")</f>
        <v/>
      </c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</row>
    <row r="510">
      <c r="A510" s="11"/>
      <c r="B510" s="11"/>
      <c r="C510" s="11"/>
      <c r="D510" s="11"/>
      <c r="E510" s="11"/>
      <c r="F510" s="12"/>
      <c r="G510" s="11"/>
      <c r="H510" s="11"/>
      <c r="I510" s="11"/>
      <c r="J510" s="11"/>
      <c r="K510" s="11"/>
      <c r="L510" s="45" t="str">
        <f t="shared" si="1"/>
        <v/>
      </c>
      <c r="M510" s="46" t="str">
        <f>IFERROR(__xludf.DUMMYFUNCTION("IF(Account!$F510&lt;&gt;"""", VALUE(REGEXREPLACE($I510, ""\,"", ""."")), """")"),"")</f>
        <v/>
      </c>
      <c r="N510" s="47" t="str">
        <f>IF(Account!$F510&lt;&gt;"", DATEVALUE(MID($A510,4,3) &amp; LEFT($A510,3) &amp; RIGHT($A510,4)) + TIMEVALUE($B510), "")</f>
        <v/>
      </c>
      <c r="O510" s="48" t="str">
        <f>IF(Account!$F510&lt;&gt;"", DATEVALUE(MID($A510,4,3) &amp; LEFT($A510,3) &amp; RIGHT($A510,4)), "")</f>
        <v/>
      </c>
      <c r="P510" s="49" t="str">
        <f>IFERROR(VLOOKUP($Q510,Selection!$F:$G,2,false))</f>
        <v/>
      </c>
      <c r="Q510" s="50" t="str">
        <f>IF(AND($X510="change",$H510="EUR"),IF(AND($Z510="Crédit",$N510=$N511),$Q511,IF(AND($Z510="Débit",$N510=$N509),$Q509)),IF(OR(AND(OR($E510&lt;&gt;"",$L510=""),$M510&lt;&gt;0),$A510=""),IFERROR(VLOOKUP($E510,Selection!$E:$F,2,false)),IFERROR(VLOOKUP(SUBSTITUTE($I510,"-","",1),$K511:$Q1119,7,false),VLOOKUP($K510,$K511:$Q1119,7,false))))</f>
        <v/>
      </c>
      <c r="R510" s="49" t="str">
        <f t="shared" si="2"/>
        <v/>
      </c>
      <c r="S510" s="51" t="str">
        <f t="shared" si="3"/>
        <v/>
      </c>
      <c r="T510" s="52" t="str">
        <f t="shared" si="4"/>
        <v/>
      </c>
      <c r="U510" s="46" t="str">
        <f t="shared" si="5"/>
        <v/>
      </c>
      <c r="V510" s="53" t="str">
        <f>IFERROR(__xludf.DUMMYFUNCTION(" IF(Account!$F510&lt;&gt;"""", SPLIT(Account!$F510, "" ""), """")"),"")</f>
        <v/>
      </c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</row>
    <row r="511">
      <c r="A511" s="11"/>
      <c r="B511" s="11"/>
      <c r="C511" s="11"/>
      <c r="D511" s="11"/>
      <c r="E511" s="11"/>
      <c r="F511" s="12"/>
      <c r="G511" s="215"/>
      <c r="H511" s="11"/>
      <c r="I511" s="11"/>
      <c r="J511" s="11"/>
      <c r="K511" s="11"/>
      <c r="L511" s="45" t="str">
        <f t="shared" si="1"/>
        <v/>
      </c>
      <c r="M511" s="46" t="str">
        <f>IFERROR(__xludf.DUMMYFUNCTION("IF(Account!$F511&lt;&gt;"""", VALUE(REGEXREPLACE($I511, ""\,"", ""."")), """")"),"")</f>
        <v/>
      </c>
      <c r="N511" s="47" t="str">
        <f>IF(Account!$F511&lt;&gt;"", DATEVALUE(MID($A511,4,3) &amp; LEFT($A511,3) &amp; RIGHT($A511,4)) + TIMEVALUE($B511), "")</f>
        <v/>
      </c>
      <c r="O511" s="48" t="str">
        <f>IF(Account!$F511&lt;&gt;"", DATEVALUE(MID($A511,4,3) &amp; LEFT($A511,3) &amp; RIGHT($A511,4)), "")</f>
        <v/>
      </c>
      <c r="P511" s="49" t="str">
        <f>IFERROR(VLOOKUP($Q511,Selection!$F:$G,2,false))</f>
        <v/>
      </c>
      <c r="Q511" s="50" t="str">
        <f>IF(AND($X511="change",$H511="EUR"),IF(AND($Z511="Crédit",$N511=$N512),$Q512,IF(AND($Z511="Débit",$N511=$N510),$Q510)),IF(OR(AND(OR($E511&lt;&gt;"",$L511=""),$M511&lt;&gt;0),$A511=""),IFERROR(VLOOKUP($E511,Selection!$E:$F,2,false)),IFERROR(VLOOKUP(SUBSTITUTE($I511,"-","",1),$K512:$Q1119,7,false),VLOOKUP($K511,$K512:$Q1119,7,false))))</f>
        <v/>
      </c>
      <c r="R511" s="49" t="str">
        <f t="shared" si="2"/>
        <v/>
      </c>
      <c r="S511" s="51" t="str">
        <f t="shared" si="3"/>
        <v/>
      </c>
      <c r="T511" s="52" t="str">
        <f t="shared" si="4"/>
        <v/>
      </c>
      <c r="U511" s="46" t="str">
        <f t="shared" si="5"/>
        <v/>
      </c>
      <c r="V511" s="53" t="str">
        <f>IFERROR(__xludf.DUMMYFUNCTION(" IF(Account!$F511&lt;&gt;"""", SPLIT(Account!$F511, "" ""), """")"),"")</f>
        <v/>
      </c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</row>
    <row r="512">
      <c r="A512" s="11"/>
      <c r="B512" s="11"/>
      <c r="C512" s="11"/>
      <c r="D512" s="11"/>
      <c r="E512" s="11"/>
      <c r="F512" s="12"/>
      <c r="G512" s="11"/>
      <c r="H512" s="11"/>
      <c r="I512" s="11"/>
      <c r="J512" s="11"/>
      <c r="K512" s="11"/>
      <c r="L512" s="45" t="str">
        <f t="shared" si="1"/>
        <v/>
      </c>
      <c r="M512" s="46" t="str">
        <f>IFERROR(__xludf.DUMMYFUNCTION("IF(Account!$F512&lt;&gt;"""", VALUE(REGEXREPLACE($I512, ""\,"", ""."")), """")"),"")</f>
        <v/>
      </c>
      <c r="N512" s="47" t="str">
        <f>IF(Account!$F512&lt;&gt;"", DATEVALUE(MID($A512,4,3) &amp; LEFT($A512,3) &amp; RIGHT($A512,4)) + TIMEVALUE($B512), "")</f>
        <v/>
      </c>
      <c r="O512" s="48" t="str">
        <f>IF(Account!$F512&lt;&gt;"", DATEVALUE(MID($A512,4,3) &amp; LEFT($A512,3) &amp; RIGHT($A512,4)), "")</f>
        <v/>
      </c>
      <c r="P512" s="49" t="str">
        <f>IFERROR(VLOOKUP($Q512,Selection!$F:$G,2,false))</f>
        <v/>
      </c>
      <c r="Q512" s="50" t="str">
        <f>IF(AND($X512="change",$H512="EUR"),IF(AND($Z512="Crédit",$N512=$N513),$Q513,IF(AND($Z512="Débit",$N512=$N511),$Q511)),IF(OR(AND(OR($E512&lt;&gt;"",$L512=""),$M512&lt;&gt;0),$A512=""),IFERROR(VLOOKUP($E512,Selection!$E:$F,2,false)),IFERROR(VLOOKUP(SUBSTITUTE($I512,"-","",1),$K513:$Q1119,7,false),VLOOKUP($K512,$K513:$Q1119,7,false))))</f>
        <v/>
      </c>
      <c r="R512" s="49" t="str">
        <f t="shared" si="2"/>
        <v/>
      </c>
      <c r="S512" s="51" t="str">
        <f t="shared" si="3"/>
        <v/>
      </c>
      <c r="T512" s="52" t="str">
        <f t="shared" si="4"/>
        <v/>
      </c>
      <c r="U512" s="46" t="str">
        <f t="shared" si="5"/>
        <v/>
      </c>
      <c r="V512" s="53" t="str">
        <f>IFERROR(__xludf.DUMMYFUNCTION(" IF(Account!$F512&lt;&gt;"""", SPLIT(Account!$F512, "" ""), """")"),"")</f>
        <v/>
      </c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</row>
    <row r="513">
      <c r="A513" s="11"/>
      <c r="B513" s="11"/>
      <c r="C513" s="11"/>
      <c r="D513" s="11"/>
      <c r="E513" s="11"/>
      <c r="F513" s="12"/>
      <c r="G513" s="215"/>
      <c r="H513" s="11"/>
      <c r="I513" s="11"/>
      <c r="J513" s="11"/>
      <c r="K513" s="11"/>
      <c r="L513" s="45" t="str">
        <f t="shared" si="1"/>
        <v/>
      </c>
      <c r="M513" s="46" t="str">
        <f>IFERROR(__xludf.DUMMYFUNCTION("IF(Account!$F513&lt;&gt;"""", VALUE(REGEXREPLACE($I513, ""\,"", ""."")), """")"),"")</f>
        <v/>
      </c>
      <c r="N513" s="47" t="str">
        <f>IF(Account!$F513&lt;&gt;"", DATEVALUE(MID($A513,4,3) &amp; LEFT($A513,3) &amp; RIGHT($A513,4)) + TIMEVALUE($B513), "")</f>
        <v/>
      </c>
      <c r="O513" s="48" t="str">
        <f>IF(Account!$F513&lt;&gt;"", DATEVALUE(MID($A513,4,3) &amp; LEFT($A513,3) &amp; RIGHT($A513,4)), "")</f>
        <v/>
      </c>
      <c r="P513" s="49" t="str">
        <f>IFERROR(VLOOKUP($Q513,Selection!$F:$G,2,false))</f>
        <v/>
      </c>
      <c r="Q513" s="50" t="str">
        <f>IF(AND($X513="change",$H513="EUR"),IF(AND($Z513="Crédit",$N513=$N514),$Q514,IF(AND($Z513="Débit",$N513=$N512),$Q512)),IF(OR(AND(OR($E513&lt;&gt;"",$L513=""),$M513&lt;&gt;0),$A513=""),IFERROR(VLOOKUP($E513,Selection!$E:$F,2,false)),IFERROR(VLOOKUP(SUBSTITUTE($I513,"-","",1),$K514:$Q1119,7,false),VLOOKUP($K513,$K514:$Q1119,7,false))))</f>
        <v/>
      </c>
      <c r="R513" s="49" t="str">
        <f t="shared" si="2"/>
        <v/>
      </c>
      <c r="S513" s="51" t="str">
        <f t="shared" si="3"/>
        <v/>
      </c>
      <c r="T513" s="52" t="str">
        <f t="shared" si="4"/>
        <v/>
      </c>
      <c r="U513" s="46" t="str">
        <f t="shared" si="5"/>
        <v/>
      </c>
      <c r="V513" s="53" t="str">
        <f>IFERROR(__xludf.DUMMYFUNCTION(" IF(Account!$F513&lt;&gt;"""", SPLIT(Account!$F513, "" ""), """")"),"")</f>
        <v/>
      </c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</row>
    <row r="514">
      <c r="A514" s="11"/>
      <c r="B514" s="11"/>
      <c r="C514" s="11"/>
      <c r="D514" s="11"/>
      <c r="E514" s="11"/>
      <c r="F514" s="12"/>
      <c r="G514" s="11"/>
      <c r="H514" s="11"/>
      <c r="I514" s="11"/>
      <c r="J514" s="11"/>
      <c r="K514" s="11"/>
      <c r="L514" s="45" t="str">
        <f t="shared" si="1"/>
        <v/>
      </c>
      <c r="M514" s="46" t="str">
        <f>IFERROR(__xludf.DUMMYFUNCTION("IF(Account!$F514&lt;&gt;"""", VALUE(REGEXREPLACE($I514, ""\,"", ""."")), """")"),"")</f>
        <v/>
      </c>
      <c r="N514" s="47" t="str">
        <f>IF(Account!$F514&lt;&gt;"", DATEVALUE(MID($A514,4,3) &amp; LEFT($A514,3) &amp; RIGHT($A514,4)) + TIMEVALUE($B514), "")</f>
        <v/>
      </c>
      <c r="O514" s="48" t="str">
        <f>IF(Account!$F514&lt;&gt;"", DATEVALUE(MID($A514,4,3) &amp; LEFT($A514,3) &amp; RIGHT($A514,4)), "")</f>
        <v/>
      </c>
      <c r="P514" s="49" t="str">
        <f>IFERROR(VLOOKUP($Q514,Selection!$F:$G,2,false))</f>
        <v/>
      </c>
      <c r="Q514" s="50" t="str">
        <f>IF(AND($X514="change",$H514="EUR"),IF(AND($Z514="Crédit",$N514=$N515),$Q515,IF(AND($Z514="Débit",$N514=$N513),$Q513)),IF(OR(AND(OR($E514&lt;&gt;"",$L514=""),$M514&lt;&gt;0),$A514=""),IFERROR(VLOOKUP($E514,Selection!$E:$F,2,false)),IFERROR(VLOOKUP(SUBSTITUTE($I514,"-","",1),$K515:$Q1119,7,false),VLOOKUP($K514,$K515:$Q1119,7,false))))</f>
        <v/>
      </c>
      <c r="R514" s="49" t="str">
        <f t="shared" si="2"/>
        <v/>
      </c>
      <c r="S514" s="51" t="str">
        <f t="shared" si="3"/>
        <v/>
      </c>
      <c r="T514" s="52" t="str">
        <f t="shared" si="4"/>
        <v/>
      </c>
      <c r="U514" s="46" t="str">
        <f t="shared" si="5"/>
        <v/>
      </c>
      <c r="V514" s="53" t="str">
        <f>IFERROR(__xludf.DUMMYFUNCTION(" IF(Account!$F514&lt;&gt;"""", SPLIT(Account!$F514, "" ""), """")"),"")</f>
        <v/>
      </c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</row>
    <row r="515">
      <c r="A515" s="11"/>
      <c r="B515" s="11"/>
      <c r="C515" s="11"/>
      <c r="D515" s="11"/>
      <c r="E515" s="11"/>
      <c r="F515" s="12"/>
      <c r="G515" s="215"/>
      <c r="H515" s="11"/>
      <c r="I515" s="11"/>
      <c r="J515" s="11"/>
      <c r="K515" s="11"/>
      <c r="L515" s="45" t="str">
        <f t="shared" si="1"/>
        <v/>
      </c>
      <c r="M515" s="46" t="str">
        <f>IFERROR(__xludf.DUMMYFUNCTION("IF(Account!$F515&lt;&gt;"""", VALUE(REGEXREPLACE($I515, ""\,"", ""."")), """")"),"")</f>
        <v/>
      </c>
      <c r="N515" s="47" t="str">
        <f>IF(Account!$F515&lt;&gt;"", DATEVALUE(MID($A515,4,3) &amp; LEFT($A515,3) &amp; RIGHT($A515,4)) + TIMEVALUE($B515), "")</f>
        <v/>
      </c>
      <c r="O515" s="48" t="str">
        <f>IF(Account!$F515&lt;&gt;"", DATEVALUE(MID($A515,4,3) &amp; LEFT($A515,3) &amp; RIGHT($A515,4)), "")</f>
        <v/>
      </c>
      <c r="P515" s="49" t="str">
        <f>IFERROR(VLOOKUP($Q515,Selection!$F:$G,2,false))</f>
        <v/>
      </c>
      <c r="Q515" s="50" t="str">
        <f>IF(AND($X515="change",$H515="EUR"),IF(AND($Z515="Crédit",$N515=$N516),$Q516,IF(AND($Z515="Débit",$N515=$N514),$Q514)),IF(OR(AND(OR($E515&lt;&gt;"",$L515=""),$M515&lt;&gt;0),$A515=""),IFERROR(VLOOKUP($E515,Selection!$E:$F,2,false)),IFERROR(VLOOKUP(SUBSTITUTE($I515,"-","",1),$K516:$Q1119,7,false),VLOOKUP($K515,$K516:$Q1119,7,false))))</f>
        <v/>
      </c>
      <c r="R515" s="49" t="str">
        <f t="shared" si="2"/>
        <v/>
      </c>
      <c r="S515" s="51" t="str">
        <f t="shared" si="3"/>
        <v/>
      </c>
      <c r="T515" s="52" t="str">
        <f t="shared" si="4"/>
        <v/>
      </c>
      <c r="U515" s="46" t="str">
        <f t="shared" si="5"/>
        <v/>
      </c>
      <c r="V515" s="53" t="str">
        <f>IFERROR(__xludf.DUMMYFUNCTION(" IF(Account!$F515&lt;&gt;"""", SPLIT(Account!$F515, "" ""), """")"),"")</f>
        <v/>
      </c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</row>
    <row r="516">
      <c r="A516" s="11"/>
      <c r="B516" s="11"/>
      <c r="C516" s="11"/>
      <c r="D516" s="11"/>
      <c r="E516" s="11"/>
      <c r="F516" s="12"/>
      <c r="G516" s="11"/>
      <c r="H516" s="11"/>
      <c r="I516" s="11"/>
      <c r="J516" s="11"/>
      <c r="K516" s="11"/>
      <c r="L516" s="45" t="str">
        <f t="shared" si="1"/>
        <v/>
      </c>
      <c r="M516" s="46" t="str">
        <f>IFERROR(__xludf.DUMMYFUNCTION("IF(Account!$F516&lt;&gt;"""", VALUE(REGEXREPLACE($I516, ""\,"", ""."")), """")"),"")</f>
        <v/>
      </c>
      <c r="N516" s="47" t="str">
        <f>IF(Account!$F516&lt;&gt;"", DATEVALUE(MID($A516,4,3) &amp; LEFT($A516,3) &amp; RIGHT($A516,4)) + TIMEVALUE($B516), "")</f>
        <v/>
      </c>
      <c r="O516" s="48" t="str">
        <f>IF(Account!$F516&lt;&gt;"", DATEVALUE(MID($A516,4,3) &amp; LEFT($A516,3) &amp; RIGHT($A516,4)), "")</f>
        <v/>
      </c>
      <c r="P516" s="49" t="str">
        <f>IFERROR(VLOOKUP($Q516,Selection!$F:$G,2,false))</f>
        <v/>
      </c>
      <c r="Q516" s="50" t="str">
        <f>IF(AND($X516="change",$H516="EUR"),IF(AND($Z516="Crédit",$N516=$N517),$Q517,IF(AND($Z516="Débit",$N516=$N515),$Q515)),IF(OR(AND(OR($E516&lt;&gt;"",$L516=""),$M516&lt;&gt;0),$A516=""),IFERROR(VLOOKUP($E516,Selection!$E:$F,2,false)),IFERROR(VLOOKUP(SUBSTITUTE($I516,"-","",1),$K517:$Q1119,7,false),VLOOKUP($K516,$K517:$Q1119,7,false))))</f>
        <v/>
      </c>
      <c r="R516" s="49" t="str">
        <f t="shared" si="2"/>
        <v/>
      </c>
      <c r="S516" s="51" t="str">
        <f t="shared" si="3"/>
        <v/>
      </c>
      <c r="T516" s="52" t="str">
        <f t="shared" si="4"/>
        <v/>
      </c>
      <c r="U516" s="46" t="str">
        <f t="shared" si="5"/>
        <v/>
      </c>
      <c r="V516" s="53" t="str">
        <f>IFERROR(__xludf.DUMMYFUNCTION(" IF(Account!$F516&lt;&gt;"""", SPLIT(Account!$F516, "" ""), """")"),"")</f>
        <v/>
      </c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</row>
    <row r="517">
      <c r="A517" s="11"/>
      <c r="B517" s="11"/>
      <c r="C517" s="11"/>
      <c r="D517" s="11"/>
      <c r="E517" s="11"/>
      <c r="F517" s="12"/>
      <c r="G517" s="215"/>
      <c r="H517" s="11"/>
      <c r="I517" s="11"/>
      <c r="J517" s="11"/>
      <c r="K517" s="11"/>
      <c r="L517" s="45" t="str">
        <f t="shared" si="1"/>
        <v/>
      </c>
      <c r="M517" s="46" t="str">
        <f>IFERROR(__xludf.DUMMYFUNCTION("IF(Account!$F517&lt;&gt;"""", VALUE(REGEXREPLACE($I517, ""\,"", ""."")), """")"),"")</f>
        <v/>
      </c>
      <c r="N517" s="47" t="str">
        <f>IF(Account!$F517&lt;&gt;"", DATEVALUE(MID($A517,4,3) &amp; LEFT($A517,3) &amp; RIGHT($A517,4)) + TIMEVALUE($B517), "")</f>
        <v/>
      </c>
      <c r="O517" s="48" t="str">
        <f>IF(Account!$F517&lt;&gt;"", DATEVALUE(MID($A517,4,3) &amp; LEFT($A517,3) &amp; RIGHT($A517,4)), "")</f>
        <v/>
      </c>
      <c r="P517" s="49" t="str">
        <f>IFERROR(VLOOKUP($Q517,Selection!$F:$G,2,false))</f>
        <v/>
      </c>
      <c r="Q517" s="50" t="str">
        <f>IF(AND($X517="change",$H517="EUR"),IF(AND($Z517="Crédit",$N517=$N518),$Q518,IF(AND($Z517="Débit",$N517=$N516),$Q516)),IF(OR(AND(OR($E517&lt;&gt;"",$L517=""),$M517&lt;&gt;0),$A517=""),IFERROR(VLOOKUP($E517,Selection!$E:$F,2,false)),IFERROR(VLOOKUP(SUBSTITUTE($I517,"-","",1),$K518:$Q1119,7,false),VLOOKUP($K517,$K518:$Q1119,7,false))))</f>
        <v/>
      </c>
      <c r="R517" s="49" t="str">
        <f t="shared" si="2"/>
        <v/>
      </c>
      <c r="S517" s="51" t="str">
        <f t="shared" si="3"/>
        <v/>
      </c>
      <c r="T517" s="52" t="str">
        <f t="shared" si="4"/>
        <v/>
      </c>
      <c r="U517" s="46" t="str">
        <f t="shared" si="5"/>
        <v/>
      </c>
      <c r="V517" s="53" t="str">
        <f>IFERROR(__xludf.DUMMYFUNCTION(" IF(Account!$F517&lt;&gt;"""", SPLIT(Account!$F517, "" ""), """")"),"")</f>
        <v/>
      </c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</row>
    <row r="518">
      <c r="A518" s="11"/>
      <c r="B518" s="11"/>
      <c r="C518" s="11"/>
      <c r="D518" s="11"/>
      <c r="E518" s="11"/>
      <c r="F518" s="12"/>
      <c r="G518" s="215"/>
      <c r="H518" s="11"/>
      <c r="I518" s="11"/>
      <c r="J518" s="11"/>
      <c r="K518" s="11"/>
      <c r="L518" s="45" t="str">
        <f t="shared" si="1"/>
        <v/>
      </c>
      <c r="M518" s="46" t="str">
        <f>IFERROR(__xludf.DUMMYFUNCTION("IF(Account!$F518&lt;&gt;"""", VALUE(REGEXREPLACE($I518, ""\,"", ""."")), """")"),"")</f>
        <v/>
      </c>
      <c r="N518" s="47" t="str">
        <f>IF(Account!$F518&lt;&gt;"", DATEVALUE(MID($A518,4,3) &amp; LEFT($A518,3) &amp; RIGHT($A518,4)) + TIMEVALUE($B518), "")</f>
        <v/>
      </c>
      <c r="O518" s="48" t="str">
        <f>IF(Account!$F518&lt;&gt;"", DATEVALUE(MID($A518,4,3) &amp; LEFT($A518,3) &amp; RIGHT($A518,4)), "")</f>
        <v/>
      </c>
      <c r="P518" s="49" t="str">
        <f>IFERROR(VLOOKUP($Q518,Selection!$F:$G,2,false))</f>
        <v/>
      </c>
      <c r="Q518" s="50" t="str">
        <f>IF(AND($X518="change",$H518="EUR"),IF(AND($Z518="Crédit",$N518=$N519),$Q519,IF(AND($Z518="Débit",$N518=$N517),$Q517)),IF(OR(AND(OR($E518&lt;&gt;"",$L518=""),$M518&lt;&gt;0),$A518=""),IFERROR(VLOOKUP($E518,Selection!$E:$F,2,false)),IFERROR(VLOOKUP(SUBSTITUTE($I518,"-","",1),$K519:$Q1119,7,false),VLOOKUP($K518,$K519:$Q1119,7,false))))</f>
        <v/>
      </c>
      <c r="R518" s="49" t="str">
        <f t="shared" si="2"/>
        <v/>
      </c>
      <c r="S518" s="51" t="str">
        <f t="shared" si="3"/>
        <v/>
      </c>
      <c r="T518" s="52" t="str">
        <f t="shared" si="4"/>
        <v/>
      </c>
      <c r="U518" s="46" t="str">
        <f t="shared" si="5"/>
        <v/>
      </c>
      <c r="V518" s="53" t="str">
        <f>IFERROR(__xludf.DUMMYFUNCTION(" IF(Account!$F518&lt;&gt;"""", SPLIT(Account!$F518, "" ""), """")"),"")</f>
        <v/>
      </c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</row>
    <row r="519">
      <c r="A519" s="11"/>
      <c r="B519" s="11"/>
      <c r="C519" s="11"/>
      <c r="D519" s="11"/>
      <c r="E519" s="11"/>
      <c r="F519" s="12"/>
      <c r="G519" s="215"/>
      <c r="H519" s="11"/>
      <c r="I519" s="11"/>
      <c r="J519" s="11"/>
      <c r="K519" s="11"/>
      <c r="L519" s="45" t="str">
        <f t="shared" si="1"/>
        <v/>
      </c>
      <c r="M519" s="46" t="str">
        <f>IFERROR(__xludf.DUMMYFUNCTION("IF(Account!$F519&lt;&gt;"""", VALUE(REGEXREPLACE($I519, ""\,"", ""."")), """")"),"")</f>
        <v/>
      </c>
      <c r="N519" s="47" t="str">
        <f>IF(Account!$F519&lt;&gt;"", DATEVALUE(MID($A519,4,3) &amp; LEFT($A519,3) &amp; RIGHT($A519,4)) + TIMEVALUE($B519), "")</f>
        <v/>
      </c>
      <c r="O519" s="48" t="str">
        <f>IF(Account!$F519&lt;&gt;"", DATEVALUE(MID($A519,4,3) &amp; LEFT($A519,3) &amp; RIGHT($A519,4)), "")</f>
        <v/>
      </c>
      <c r="P519" s="49" t="str">
        <f>IFERROR(VLOOKUP($Q519,Selection!$F:$G,2,false))</f>
        <v/>
      </c>
      <c r="Q519" s="50" t="str">
        <f>IF(AND($X519="change",$H519="EUR"),IF(AND($Z519="Crédit",$N519=$N520),$Q520,IF(AND($Z519="Débit",$N519=$N518),$Q518)),IF(OR(AND(OR($E519&lt;&gt;"",$L519=""),$M519&lt;&gt;0),$A519=""),IFERROR(VLOOKUP($E519,Selection!$E:$F,2,false)),IFERROR(VLOOKUP(SUBSTITUTE($I519,"-","",1),$K520:$Q1119,7,false),VLOOKUP($K519,$K520:$Q1119,7,false))))</f>
        <v/>
      </c>
      <c r="R519" s="49" t="str">
        <f t="shared" si="2"/>
        <v/>
      </c>
      <c r="S519" s="51" t="str">
        <f t="shared" si="3"/>
        <v/>
      </c>
      <c r="T519" s="52" t="str">
        <f t="shared" si="4"/>
        <v/>
      </c>
      <c r="U519" s="46" t="str">
        <f t="shared" si="5"/>
        <v/>
      </c>
      <c r="V519" s="53" t="str">
        <f>IFERROR(__xludf.DUMMYFUNCTION(" IF(Account!$F519&lt;&gt;"""", SPLIT(Account!$F519, "" ""), """")"),"")</f>
        <v/>
      </c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</row>
    <row r="520">
      <c r="A520" s="11"/>
      <c r="B520" s="11"/>
      <c r="C520" s="11"/>
      <c r="D520" s="11"/>
      <c r="E520" s="11"/>
      <c r="F520" s="12"/>
      <c r="G520" s="215"/>
      <c r="H520" s="11"/>
      <c r="I520" s="11"/>
      <c r="J520" s="11"/>
      <c r="K520" s="11"/>
      <c r="L520" s="45" t="str">
        <f t="shared" si="1"/>
        <v/>
      </c>
      <c r="M520" s="46" t="str">
        <f>IFERROR(__xludf.DUMMYFUNCTION("IF(Account!$F520&lt;&gt;"""", VALUE(REGEXREPLACE($I520, ""\,"", ""."")), """")"),"")</f>
        <v/>
      </c>
      <c r="N520" s="47" t="str">
        <f>IF(Account!$F520&lt;&gt;"", DATEVALUE(MID($A520,4,3) &amp; LEFT($A520,3) &amp; RIGHT($A520,4)) + TIMEVALUE($B520), "")</f>
        <v/>
      </c>
      <c r="O520" s="48" t="str">
        <f>IF(Account!$F520&lt;&gt;"", DATEVALUE(MID($A520,4,3) &amp; LEFT($A520,3) &amp; RIGHT($A520,4)), "")</f>
        <v/>
      </c>
      <c r="P520" s="49" t="str">
        <f>IFERROR(VLOOKUP($Q520,Selection!$F:$G,2,false))</f>
        <v/>
      </c>
      <c r="Q520" s="50" t="str">
        <f>IF(AND($X520="change",$H520="EUR"),IF(AND($Z520="Crédit",$N520=$N521),$Q521,IF(AND($Z520="Débit",$N520=$N519),$Q519)),IF(OR(AND(OR($E520&lt;&gt;"",$L520=""),$M520&lt;&gt;0),$A520=""),IFERROR(VLOOKUP($E520,Selection!$E:$F,2,false)),IFERROR(VLOOKUP(SUBSTITUTE($I520,"-","",1),$K521:$Q1119,7,false),VLOOKUP($K520,$K521:$Q1119,7,false))))</f>
        <v/>
      </c>
      <c r="R520" s="49" t="str">
        <f t="shared" si="2"/>
        <v/>
      </c>
      <c r="S520" s="51" t="str">
        <f t="shared" si="3"/>
        <v/>
      </c>
      <c r="T520" s="52" t="str">
        <f t="shared" si="4"/>
        <v/>
      </c>
      <c r="U520" s="46" t="str">
        <f t="shared" si="5"/>
        <v/>
      </c>
      <c r="V520" s="53" t="str">
        <f>IFERROR(__xludf.DUMMYFUNCTION(" IF(Account!$F520&lt;&gt;"""", SPLIT(Account!$F520, "" ""), """")"),"")</f>
        <v/>
      </c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</row>
    <row r="521">
      <c r="A521" s="11"/>
      <c r="B521" s="11"/>
      <c r="C521" s="11"/>
      <c r="D521" s="11"/>
      <c r="E521" s="11"/>
      <c r="F521" s="12"/>
      <c r="G521" s="215"/>
      <c r="H521" s="11"/>
      <c r="I521" s="11"/>
      <c r="J521" s="11"/>
      <c r="K521" s="11"/>
      <c r="L521" s="45" t="str">
        <f t="shared" si="1"/>
        <v/>
      </c>
      <c r="M521" s="46" t="str">
        <f>IFERROR(__xludf.DUMMYFUNCTION("IF(Account!$F521&lt;&gt;"""", VALUE(REGEXREPLACE($I521, ""\,"", ""."")), """")"),"")</f>
        <v/>
      </c>
      <c r="N521" s="47" t="str">
        <f>IF(Account!$F521&lt;&gt;"", DATEVALUE(MID($A521,4,3) &amp; LEFT($A521,3) &amp; RIGHT($A521,4)) + TIMEVALUE($B521), "")</f>
        <v/>
      </c>
      <c r="O521" s="48" t="str">
        <f>IF(Account!$F521&lt;&gt;"", DATEVALUE(MID($A521,4,3) &amp; LEFT($A521,3) &amp; RIGHT($A521,4)), "")</f>
        <v/>
      </c>
      <c r="P521" s="49" t="str">
        <f>IFERROR(VLOOKUP($Q521,Selection!$F:$G,2,false))</f>
        <v/>
      </c>
      <c r="Q521" s="50" t="str">
        <f>IF(AND($X521="change",$H521="EUR"),IF(AND($Z521="Crédit",$N521=$N522),$Q522,IF(AND($Z521="Débit",$N521=$N520),$Q520)),IF(OR(AND(OR($E521&lt;&gt;"",$L521=""),$M521&lt;&gt;0),$A521=""),IFERROR(VLOOKUP($E521,Selection!$E:$F,2,false)),IFERROR(VLOOKUP(SUBSTITUTE($I521,"-","",1),$K522:$Q1119,7,false),VLOOKUP($K521,$K522:$Q1119,7,false))))</f>
        <v/>
      </c>
      <c r="R521" s="49" t="str">
        <f t="shared" si="2"/>
        <v/>
      </c>
      <c r="S521" s="51" t="str">
        <f t="shared" si="3"/>
        <v/>
      </c>
      <c r="T521" s="52" t="str">
        <f t="shared" si="4"/>
        <v/>
      </c>
      <c r="U521" s="46" t="str">
        <f t="shared" si="5"/>
        <v/>
      </c>
      <c r="V521" s="53" t="str">
        <f>IFERROR(__xludf.DUMMYFUNCTION(" IF(Account!$F521&lt;&gt;"""", SPLIT(Account!$F521, "" ""), """")"),"")</f>
        <v/>
      </c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</row>
    <row r="522">
      <c r="A522" s="11"/>
      <c r="B522" s="11"/>
      <c r="C522" s="11"/>
      <c r="D522" s="11"/>
      <c r="E522" s="11"/>
      <c r="F522" s="12"/>
      <c r="G522" s="11"/>
      <c r="H522" s="11"/>
      <c r="I522" s="11"/>
      <c r="J522" s="11"/>
      <c r="K522" s="11"/>
      <c r="L522" s="45" t="str">
        <f t="shared" si="1"/>
        <v/>
      </c>
      <c r="M522" s="46" t="str">
        <f>IFERROR(__xludf.DUMMYFUNCTION("IF(Account!$F522&lt;&gt;"""", VALUE(REGEXREPLACE($I522, ""\,"", ""."")), """")"),"")</f>
        <v/>
      </c>
      <c r="N522" s="47" t="str">
        <f>IF(Account!$F522&lt;&gt;"", DATEVALUE(MID($A522,4,3) &amp; LEFT($A522,3) &amp; RIGHT($A522,4)) + TIMEVALUE($B522), "")</f>
        <v/>
      </c>
      <c r="O522" s="48" t="str">
        <f>IF(Account!$F522&lt;&gt;"", DATEVALUE(MID($A522,4,3) &amp; LEFT($A522,3) &amp; RIGHT($A522,4)), "")</f>
        <v/>
      </c>
      <c r="P522" s="49" t="str">
        <f>IFERROR(VLOOKUP($Q522,Selection!$F:$G,2,false))</f>
        <v/>
      </c>
      <c r="Q522" s="50" t="str">
        <f>IF(AND($X522="change",$H522="EUR"),IF(AND($Z522="Crédit",$N522=$N523),$Q523,IF(AND($Z522="Débit",$N522=$N521),$Q521)),IF(OR(AND(OR($E522&lt;&gt;"",$L522=""),$M522&lt;&gt;0),$A522=""),IFERROR(VLOOKUP($E522,Selection!$E:$F,2,false)),IFERROR(VLOOKUP(SUBSTITUTE($I522,"-","",1),$K523:$Q1119,7,false),VLOOKUP($K522,$K523:$Q1119,7,false))))</f>
        <v/>
      </c>
      <c r="R522" s="49" t="str">
        <f t="shared" si="2"/>
        <v/>
      </c>
      <c r="S522" s="51" t="str">
        <f t="shared" si="3"/>
        <v/>
      </c>
      <c r="T522" s="52" t="str">
        <f t="shared" si="4"/>
        <v/>
      </c>
      <c r="U522" s="46" t="str">
        <f t="shared" si="5"/>
        <v/>
      </c>
      <c r="V522" s="53" t="str">
        <f>IFERROR(__xludf.DUMMYFUNCTION(" IF(Account!$F522&lt;&gt;"""", SPLIT(Account!$F522, "" ""), """")"),"")</f>
        <v/>
      </c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</row>
    <row r="523">
      <c r="A523" s="11"/>
      <c r="B523" s="11"/>
      <c r="C523" s="11"/>
      <c r="D523" s="11"/>
      <c r="E523" s="11"/>
      <c r="F523" s="12"/>
      <c r="G523" s="215"/>
      <c r="H523" s="11"/>
      <c r="I523" s="11"/>
      <c r="J523" s="11"/>
      <c r="K523" s="11"/>
      <c r="L523" s="45" t="str">
        <f t="shared" si="1"/>
        <v/>
      </c>
      <c r="M523" s="46" t="str">
        <f>IFERROR(__xludf.DUMMYFUNCTION("IF(Account!$F523&lt;&gt;"""", VALUE(REGEXREPLACE($I523, ""\,"", ""."")), """")"),"")</f>
        <v/>
      </c>
      <c r="N523" s="47" t="str">
        <f>IF(Account!$F523&lt;&gt;"", DATEVALUE(MID($A523,4,3) &amp; LEFT($A523,3) &amp; RIGHT($A523,4)) + TIMEVALUE($B523), "")</f>
        <v/>
      </c>
      <c r="O523" s="48" t="str">
        <f>IF(Account!$F523&lt;&gt;"", DATEVALUE(MID($A523,4,3) &amp; LEFT($A523,3) &amp; RIGHT($A523,4)), "")</f>
        <v/>
      </c>
      <c r="P523" s="49" t="str">
        <f>IFERROR(VLOOKUP($Q523,Selection!$F:$G,2,false))</f>
        <v/>
      </c>
      <c r="Q523" s="50" t="str">
        <f>IF(AND($X523="change",$H523="EUR"),IF(AND($Z523="Crédit",$N523=$N524),$Q524,IF(AND($Z523="Débit",$N523=$N522),$Q522)),IF(OR(AND(OR($E523&lt;&gt;"",$L523=""),$M523&lt;&gt;0),$A523=""),IFERROR(VLOOKUP($E523,Selection!$E:$F,2,false)),IFERROR(VLOOKUP(SUBSTITUTE($I523,"-","",1),$K524:$Q1119,7,false),VLOOKUP($K523,$K524:$Q1119,7,false))))</f>
        <v/>
      </c>
      <c r="R523" s="49" t="str">
        <f t="shared" si="2"/>
        <v/>
      </c>
      <c r="S523" s="51" t="str">
        <f t="shared" si="3"/>
        <v/>
      </c>
      <c r="T523" s="52" t="str">
        <f t="shared" si="4"/>
        <v/>
      </c>
      <c r="U523" s="46" t="str">
        <f t="shared" si="5"/>
        <v/>
      </c>
      <c r="V523" s="53" t="str">
        <f>IFERROR(__xludf.DUMMYFUNCTION(" IF(Account!$F523&lt;&gt;"""", SPLIT(Account!$F523, "" ""), """")"),"")</f>
        <v/>
      </c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</row>
    <row r="524">
      <c r="A524" s="11"/>
      <c r="B524" s="11"/>
      <c r="C524" s="11"/>
      <c r="D524" s="11"/>
      <c r="E524" s="11"/>
      <c r="F524" s="12"/>
      <c r="G524" s="215"/>
      <c r="H524" s="11"/>
      <c r="I524" s="11"/>
      <c r="J524" s="11"/>
      <c r="K524" s="11"/>
      <c r="L524" s="45" t="str">
        <f t="shared" si="1"/>
        <v/>
      </c>
      <c r="M524" s="46" t="str">
        <f>IFERROR(__xludf.DUMMYFUNCTION("IF(Account!$F524&lt;&gt;"""", VALUE(REGEXREPLACE($I524, ""\,"", ""."")), """")"),"")</f>
        <v/>
      </c>
      <c r="N524" s="47" t="str">
        <f>IF(Account!$F524&lt;&gt;"", DATEVALUE(MID($A524,4,3) &amp; LEFT($A524,3) &amp; RIGHT($A524,4)) + TIMEVALUE($B524), "")</f>
        <v/>
      </c>
      <c r="O524" s="48" t="str">
        <f>IF(Account!$F524&lt;&gt;"", DATEVALUE(MID($A524,4,3) &amp; LEFT($A524,3) &amp; RIGHT($A524,4)), "")</f>
        <v/>
      </c>
      <c r="P524" s="49" t="str">
        <f>IFERROR(VLOOKUP($Q524,Selection!$F:$G,2,false))</f>
        <v/>
      </c>
      <c r="Q524" s="50" t="str">
        <f>IF(AND($X524="change",$H524="EUR"),IF(AND($Z524="Crédit",$N524=$N525),$Q525,IF(AND($Z524="Débit",$N524=$N523),$Q523)),IF(OR(AND(OR($E524&lt;&gt;"",$L524=""),$M524&lt;&gt;0),$A524=""),IFERROR(VLOOKUP($E524,Selection!$E:$F,2,false)),IFERROR(VLOOKUP(SUBSTITUTE($I524,"-","",1),$K525:$Q1119,7,false),VLOOKUP($K524,$K525:$Q1119,7,false))))</f>
        <v/>
      </c>
      <c r="R524" s="49" t="str">
        <f t="shared" si="2"/>
        <v/>
      </c>
      <c r="S524" s="51" t="str">
        <f t="shared" si="3"/>
        <v/>
      </c>
      <c r="T524" s="52" t="str">
        <f t="shared" si="4"/>
        <v/>
      </c>
      <c r="U524" s="46" t="str">
        <f t="shared" si="5"/>
        <v/>
      </c>
      <c r="V524" s="53" t="str">
        <f>IFERROR(__xludf.DUMMYFUNCTION(" IF(Account!$F524&lt;&gt;"""", SPLIT(Account!$F524, "" ""), """")"),"")</f>
        <v/>
      </c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</row>
    <row r="525">
      <c r="A525" s="11"/>
      <c r="B525" s="11"/>
      <c r="C525" s="11"/>
      <c r="D525" s="11"/>
      <c r="E525" s="11"/>
      <c r="F525" s="12"/>
      <c r="G525" s="11"/>
      <c r="H525" s="11"/>
      <c r="I525" s="11"/>
      <c r="J525" s="11"/>
      <c r="K525" s="11"/>
      <c r="L525" s="45" t="str">
        <f t="shared" si="1"/>
        <v/>
      </c>
      <c r="M525" s="46" t="str">
        <f>IFERROR(__xludf.DUMMYFUNCTION("IF(Account!$F525&lt;&gt;"""", VALUE(REGEXREPLACE($I525, ""\,"", ""."")), """")"),"")</f>
        <v/>
      </c>
      <c r="N525" s="47" t="str">
        <f>IF(Account!$F525&lt;&gt;"", DATEVALUE(MID($A525,4,3) &amp; LEFT($A525,3) &amp; RIGHT($A525,4)) + TIMEVALUE($B525), "")</f>
        <v/>
      </c>
      <c r="O525" s="48" t="str">
        <f>IF(Account!$F525&lt;&gt;"", DATEVALUE(MID($A525,4,3) &amp; LEFT($A525,3) &amp; RIGHT($A525,4)), "")</f>
        <v/>
      </c>
      <c r="P525" s="49" t="str">
        <f>IFERROR(VLOOKUP($Q525,Selection!$F:$G,2,false))</f>
        <v/>
      </c>
      <c r="Q525" s="50" t="str">
        <f>IF(AND($X525="change",$H525="EUR"),IF(AND($Z525="Crédit",$N525=$N526),$Q526,IF(AND($Z525="Débit",$N525=$N524),$Q524)),IF(OR(AND(OR($E525&lt;&gt;"",$L525=""),$M525&lt;&gt;0),$A525=""),IFERROR(VLOOKUP($E525,Selection!$E:$F,2,false)),IFERROR(VLOOKUP(SUBSTITUTE($I525,"-","",1),$K526:$Q1119,7,false),VLOOKUP($K525,$K526:$Q1119,7,false))))</f>
        <v/>
      </c>
      <c r="R525" s="49" t="str">
        <f t="shared" si="2"/>
        <v/>
      </c>
      <c r="S525" s="51" t="str">
        <f t="shared" si="3"/>
        <v/>
      </c>
      <c r="T525" s="52" t="str">
        <f t="shared" si="4"/>
        <v/>
      </c>
      <c r="U525" s="46" t="str">
        <f t="shared" si="5"/>
        <v/>
      </c>
      <c r="V525" s="53" t="str">
        <f>IFERROR(__xludf.DUMMYFUNCTION(" IF(Account!$F525&lt;&gt;"""", SPLIT(Account!$F525, "" ""), """")"),"")</f>
        <v/>
      </c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</row>
    <row r="526">
      <c r="A526" s="11"/>
      <c r="B526" s="11"/>
      <c r="C526" s="11"/>
      <c r="D526" s="11"/>
      <c r="E526" s="11"/>
      <c r="F526" s="12"/>
      <c r="G526" s="215"/>
      <c r="H526" s="11"/>
      <c r="I526" s="11"/>
      <c r="J526" s="11"/>
      <c r="K526" s="11"/>
      <c r="L526" s="45" t="str">
        <f t="shared" si="1"/>
        <v/>
      </c>
      <c r="M526" s="46" t="str">
        <f>IFERROR(__xludf.DUMMYFUNCTION("IF(Account!$F526&lt;&gt;"""", VALUE(REGEXREPLACE($I526, ""\,"", ""."")), """")"),"")</f>
        <v/>
      </c>
      <c r="N526" s="47" t="str">
        <f>IF(Account!$F526&lt;&gt;"", DATEVALUE(MID($A526,4,3) &amp; LEFT($A526,3) &amp; RIGHT($A526,4)) + TIMEVALUE($B526), "")</f>
        <v/>
      </c>
      <c r="O526" s="48" t="str">
        <f>IF(Account!$F526&lt;&gt;"", DATEVALUE(MID($A526,4,3) &amp; LEFT($A526,3) &amp; RIGHT($A526,4)), "")</f>
        <v/>
      </c>
      <c r="P526" s="49" t="str">
        <f>IFERROR(VLOOKUP($Q526,Selection!$F:$G,2,false))</f>
        <v/>
      </c>
      <c r="Q526" s="50" t="str">
        <f>IF(AND($X526="change",$H526="EUR"),IF(AND($Z526="Crédit",$N526=$N527),$Q527,IF(AND($Z526="Débit",$N526=$N525),$Q525)),IF(OR(AND(OR($E526&lt;&gt;"",$L526=""),$M526&lt;&gt;0),$A526=""),IFERROR(VLOOKUP($E526,Selection!$E:$F,2,false)),IFERROR(VLOOKUP(SUBSTITUTE($I526,"-","",1),$K527:$Q1119,7,false),VLOOKUP($K526,$K527:$Q1119,7,false))))</f>
        <v/>
      </c>
      <c r="R526" s="49" t="str">
        <f t="shared" si="2"/>
        <v/>
      </c>
      <c r="S526" s="51" t="str">
        <f t="shared" si="3"/>
        <v/>
      </c>
      <c r="T526" s="52" t="str">
        <f t="shared" si="4"/>
        <v/>
      </c>
      <c r="U526" s="46" t="str">
        <f t="shared" si="5"/>
        <v/>
      </c>
      <c r="V526" s="53" t="str">
        <f>IFERROR(__xludf.DUMMYFUNCTION(" IF(Account!$F526&lt;&gt;"""", SPLIT(Account!$F526, "" ""), """")"),"")</f>
        <v/>
      </c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</row>
    <row r="527">
      <c r="A527" s="11"/>
      <c r="B527" s="11"/>
      <c r="C527" s="11"/>
      <c r="D527" s="11"/>
      <c r="E527" s="11"/>
      <c r="F527" s="12"/>
      <c r="G527" s="215"/>
      <c r="H527" s="11"/>
      <c r="I527" s="11"/>
      <c r="J527" s="11"/>
      <c r="K527" s="11"/>
      <c r="L527" s="45" t="str">
        <f t="shared" si="1"/>
        <v/>
      </c>
      <c r="M527" s="46" t="str">
        <f>IFERROR(__xludf.DUMMYFUNCTION("IF(Account!$F527&lt;&gt;"""", VALUE(REGEXREPLACE($I527, ""\,"", ""."")), """")"),"")</f>
        <v/>
      </c>
      <c r="N527" s="47" t="str">
        <f>IF(Account!$F527&lt;&gt;"", DATEVALUE(MID($A527,4,3) &amp; LEFT($A527,3) &amp; RIGHT($A527,4)) + TIMEVALUE($B527), "")</f>
        <v/>
      </c>
      <c r="O527" s="48" t="str">
        <f>IF(Account!$F527&lt;&gt;"", DATEVALUE(MID($A527,4,3) &amp; LEFT($A527,3) &amp; RIGHT($A527,4)), "")</f>
        <v/>
      </c>
      <c r="P527" s="49" t="str">
        <f>IFERROR(VLOOKUP($Q527,Selection!$F:$G,2,false))</f>
        <v/>
      </c>
      <c r="Q527" s="50" t="str">
        <f>IF(AND($X527="change",$H527="EUR"),IF(AND($Z527="Crédit",$N527=$N528),$Q528,IF(AND($Z527="Débit",$N527=$N526),$Q526)),IF(OR(AND(OR($E527&lt;&gt;"",$L527=""),$M527&lt;&gt;0),$A527=""),IFERROR(VLOOKUP($E527,Selection!$E:$F,2,false)),IFERROR(VLOOKUP(SUBSTITUTE($I527,"-","",1),$K528:$Q1119,7,false),VLOOKUP($K527,$K528:$Q1119,7,false))))</f>
        <v/>
      </c>
      <c r="R527" s="49" t="str">
        <f t="shared" si="2"/>
        <v/>
      </c>
      <c r="S527" s="51" t="str">
        <f t="shared" si="3"/>
        <v/>
      </c>
      <c r="T527" s="52" t="str">
        <f t="shared" si="4"/>
        <v/>
      </c>
      <c r="U527" s="46" t="str">
        <f t="shared" si="5"/>
        <v/>
      </c>
      <c r="V527" s="53" t="str">
        <f>IFERROR(__xludf.DUMMYFUNCTION(" IF(Account!$F527&lt;&gt;"""", SPLIT(Account!$F527, "" ""), """")"),"")</f>
        <v/>
      </c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</row>
    <row r="528">
      <c r="A528" s="11"/>
      <c r="B528" s="11"/>
      <c r="C528" s="11"/>
      <c r="D528" s="11"/>
      <c r="E528" s="11"/>
      <c r="F528" s="12"/>
      <c r="G528" s="11"/>
      <c r="H528" s="11"/>
      <c r="I528" s="11"/>
      <c r="J528" s="11"/>
      <c r="K528" s="11"/>
      <c r="L528" s="45" t="str">
        <f t="shared" si="1"/>
        <v/>
      </c>
      <c r="M528" s="46" t="str">
        <f>IFERROR(__xludf.DUMMYFUNCTION("IF(Account!$F528&lt;&gt;"""", VALUE(REGEXREPLACE($I528, ""\,"", ""."")), """")"),"")</f>
        <v/>
      </c>
      <c r="N528" s="47" t="str">
        <f>IF(Account!$F528&lt;&gt;"", DATEVALUE(MID($A528,4,3) &amp; LEFT($A528,3) &amp; RIGHT($A528,4)) + TIMEVALUE($B528), "")</f>
        <v/>
      </c>
      <c r="O528" s="48" t="str">
        <f>IF(Account!$F528&lt;&gt;"", DATEVALUE(MID($A528,4,3) &amp; LEFT($A528,3) &amp; RIGHT($A528,4)), "")</f>
        <v/>
      </c>
      <c r="P528" s="49" t="str">
        <f>IFERROR(VLOOKUP($Q528,Selection!$F:$G,2,false))</f>
        <v/>
      </c>
      <c r="Q528" s="50" t="str">
        <f>IF(AND($X528="change",$H528="EUR"),IF(AND($Z528="Crédit",$N528=$N529),$Q529,IF(AND($Z528="Débit",$N528=$N527),$Q527)),IF(OR(AND(OR($E528&lt;&gt;"",$L528=""),$M528&lt;&gt;0),$A528=""),IFERROR(VLOOKUP($E528,Selection!$E:$F,2,false)),IFERROR(VLOOKUP(SUBSTITUTE($I528,"-","",1),$K529:$Q1119,7,false),VLOOKUP($K528,$K529:$Q1119,7,false))))</f>
        <v/>
      </c>
      <c r="R528" s="49" t="str">
        <f t="shared" si="2"/>
        <v/>
      </c>
      <c r="S528" s="51" t="str">
        <f t="shared" si="3"/>
        <v/>
      </c>
      <c r="T528" s="52" t="str">
        <f t="shared" si="4"/>
        <v/>
      </c>
      <c r="U528" s="46" t="str">
        <f t="shared" si="5"/>
        <v/>
      </c>
      <c r="V528" s="53" t="str">
        <f>IFERROR(__xludf.DUMMYFUNCTION(" IF(Account!$F528&lt;&gt;"""", SPLIT(Account!$F528, "" ""), """")"),"")</f>
        <v/>
      </c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</row>
    <row r="529">
      <c r="A529" s="11"/>
      <c r="B529" s="11"/>
      <c r="C529" s="11"/>
      <c r="D529" s="11"/>
      <c r="E529" s="11"/>
      <c r="F529" s="12"/>
      <c r="G529" s="215"/>
      <c r="H529" s="11"/>
      <c r="I529" s="11"/>
      <c r="J529" s="11"/>
      <c r="K529" s="11"/>
      <c r="L529" s="45" t="str">
        <f t="shared" si="1"/>
        <v/>
      </c>
      <c r="M529" s="46" t="str">
        <f>IFERROR(__xludf.DUMMYFUNCTION("IF(Account!$F529&lt;&gt;"""", VALUE(REGEXREPLACE($I529, ""\,"", ""."")), """")"),"")</f>
        <v/>
      </c>
      <c r="N529" s="47" t="str">
        <f>IF(Account!$F529&lt;&gt;"", DATEVALUE(MID($A529,4,3) &amp; LEFT($A529,3) &amp; RIGHT($A529,4)) + TIMEVALUE($B529), "")</f>
        <v/>
      </c>
      <c r="O529" s="48" t="str">
        <f>IF(Account!$F529&lt;&gt;"", DATEVALUE(MID($A529,4,3) &amp; LEFT($A529,3) &amp; RIGHT($A529,4)), "")</f>
        <v/>
      </c>
      <c r="P529" s="49" t="str">
        <f>IFERROR(VLOOKUP($Q529,Selection!$F:$G,2,false))</f>
        <v/>
      </c>
      <c r="Q529" s="50" t="str">
        <f>IF(AND($X529="change",$H529="EUR"),IF(AND($Z529="Crédit",$N529=$N530),$Q530,IF(AND($Z529="Débit",$N529=$N528),$Q528)),IF(OR(AND(OR($E529&lt;&gt;"",$L529=""),$M529&lt;&gt;0),$A529=""),IFERROR(VLOOKUP($E529,Selection!$E:$F,2,false)),IFERROR(VLOOKUP(SUBSTITUTE($I529,"-","",1),$K530:$Q1119,7,false),VLOOKUP($K529,$K530:$Q1119,7,false))))</f>
        <v/>
      </c>
      <c r="R529" s="49" t="str">
        <f t="shared" si="2"/>
        <v/>
      </c>
      <c r="S529" s="51" t="str">
        <f t="shared" si="3"/>
        <v/>
      </c>
      <c r="T529" s="52" t="str">
        <f t="shared" si="4"/>
        <v/>
      </c>
      <c r="U529" s="46" t="str">
        <f t="shared" si="5"/>
        <v/>
      </c>
      <c r="V529" s="53" t="str">
        <f>IFERROR(__xludf.DUMMYFUNCTION(" IF(Account!$F529&lt;&gt;"""", SPLIT(Account!$F529, "" ""), """")"),"")</f>
        <v/>
      </c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</row>
    <row r="530">
      <c r="A530" s="11"/>
      <c r="B530" s="11"/>
      <c r="C530" s="11"/>
      <c r="D530" s="11"/>
      <c r="E530" s="11"/>
      <c r="F530" s="12"/>
      <c r="G530" s="215"/>
      <c r="H530" s="11"/>
      <c r="I530" s="11"/>
      <c r="J530" s="11"/>
      <c r="K530" s="11"/>
      <c r="L530" s="45" t="str">
        <f t="shared" si="1"/>
        <v/>
      </c>
      <c r="M530" s="46" t="str">
        <f>IFERROR(__xludf.DUMMYFUNCTION("IF(Account!$F530&lt;&gt;"""", VALUE(REGEXREPLACE($I530, ""\,"", ""."")), """")"),"")</f>
        <v/>
      </c>
      <c r="N530" s="47" t="str">
        <f>IF(Account!$F530&lt;&gt;"", DATEVALUE(MID($A530,4,3) &amp; LEFT($A530,3) &amp; RIGHT($A530,4)) + TIMEVALUE($B530), "")</f>
        <v/>
      </c>
      <c r="O530" s="48" t="str">
        <f>IF(Account!$F530&lt;&gt;"", DATEVALUE(MID($A530,4,3) &amp; LEFT($A530,3) &amp; RIGHT($A530,4)), "")</f>
        <v/>
      </c>
      <c r="P530" s="49" t="str">
        <f>IFERROR(VLOOKUP($Q530,Selection!$F:$G,2,false))</f>
        <v/>
      </c>
      <c r="Q530" s="50" t="str">
        <f>IF(AND($X530="change",$H530="EUR"),IF(AND($Z530="Crédit",$N530=$N531),$Q531,IF(AND($Z530="Débit",$N530=$N529),$Q529)),IF(OR(AND(OR($E530&lt;&gt;"",$L530=""),$M530&lt;&gt;0),$A530=""),IFERROR(VLOOKUP($E530,Selection!$E:$F,2,false)),IFERROR(VLOOKUP(SUBSTITUTE($I530,"-","",1),$K531:$Q1119,7,false),VLOOKUP($K530,$K531:$Q1119,7,false))))</f>
        <v/>
      </c>
      <c r="R530" s="49" t="str">
        <f t="shared" si="2"/>
        <v/>
      </c>
      <c r="S530" s="51" t="str">
        <f t="shared" si="3"/>
        <v/>
      </c>
      <c r="T530" s="52" t="str">
        <f t="shared" si="4"/>
        <v/>
      </c>
      <c r="U530" s="46" t="str">
        <f t="shared" si="5"/>
        <v/>
      </c>
      <c r="V530" s="53" t="str">
        <f>IFERROR(__xludf.DUMMYFUNCTION(" IF(Account!$F530&lt;&gt;"""", SPLIT(Account!$F530, "" ""), """")"),"")</f>
        <v/>
      </c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</row>
    <row r="531">
      <c r="A531" s="11"/>
      <c r="B531" s="11"/>
      <c r="C531" s="11"/>
      <c r="D531" s="11"/>
      <c r="E531" s="11"/>
      <c r="F531" s="12"/>
      <c r="G531" s="11"/>
      <c r="H531" s="11"/>
      <c r="I531" s="11"/>
      <c r="J531" s="11"/>
      <c r="K531" s="11"/>
      <c r="L531" s="45" t="str">
        <f t="shared" si="1"/>
        <v/>
      </c>
      <c r="M531" s="46" t="str">
        <f>IFERROR(__xludf.DUMMYFUNCTION("IF(Account!$F531&lt;&gt;"""", VALUE(REGEXREPLACE($I531, ""\,"", ""."")), """")"),"")</f>
        <v/>
      </c>
      <c r="N531" s="47" t="str">
        <f>IF(Account!$F531&lt;&gt;"", DATEVALUE(MID($A531,4,3) &amp; LEFT($A531,3) &amp; RIGHT($A531,4)) + TIMEVALUE($B531), "")</f>
        <v/>
      </c>
      <c r="O531" s="48" t="str">
        <f>IF(Account!$F531&lt;&gt;"", DATEVALUE(MID($A531,4,3) &amp; LEFT($A531,3) &amp; RIGHT($A531,4)), "")</f>
        <v/>
      </c>
      <c r="P531" s="49" t="str">
        <f>IFERROR(VLOOKUP($Q531,Selection!$F:$G,2,false))</f>
        <v/>
      </c>
      <c r="Q531" s="50" t="str">
        <f>IF(AND($X531="change",$H531="EUR"),IF(AND($Z531="Crédit",$N531=$N532),$Q532,IF(AND($Z531="Débit",$N531=$N530),$Q530)),IF(OR(AND(OR($E531&lt;&gt;"",$L531=""),$M531&lt;&gt;0),$A531=""),IFERROR(VLOOKUP($E531,Selection!$E:$F,2,false)),IFERROR(VLOOKUP(SUBSTITUTE($I531,"-","",1),$K532:$Q1119,7,false),VLOOKUP($K531,$K532:$Q1119,7,false))))</f>
        <v/>
      </c>
      <c r="R531" s="49" t="str">
        <f t="shared" si="2"/>
        <v/>
      </c>
      <c r="S531" s="51" t="str">
        <f t="shared" si="3"/>
        <v/>
      </c>
      <c r="T531" s="52" t="str">
        <f t="shared" si="4"/>
        <v/>
      </c>
      <c r="U531" s="46" t="str">
        <f t="shared" si="5"/>
        <v/>
      </c>
      <c r="V531" s="53" t="str">
        <f>IFERROR(__xludf.DUMMYFUNCTION(" IF(Account!$F531&lt;&gt;"""", SPLIT(Account!$F531, "" ""), """")"),"")</f>
        <v/>
      </c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</row>
    <row r="532">
      <c r="A532" s="11"/>
      <c r="B532" s="11"/>
      <c r="C532" s="11"/>
      <c r="D532" s="11"/>
      <c r="E532" s="11"/>
      <c r="F532" s="12"/>
      <c r="G532" s="215"/>
      <c r="H532" s="11"/>
      <c r="I532" s="11"/>
      <c r="J532" s="11"/>
      <c r="K532" s="11"/>
      <c r="L532" s="45" t="str">
        <f t="shared" si="1"/>
        <v/>
      </c>
      <c r="M532" s="46" t="str">
        <f>IFERROR(__xludf.DUMMYFUNCTION("IF(Account!$F532&lt;&gt;"""", VALUE(REGEXREPLACE($I532, ""\,"", ""."")), """")"),"")</f>
        <v/>
      </c>
      <c r="N532" s="47" t="str">
        <f>IF(Account!$F532&lt;&gt;"", DATEVALUE(MID($A532,4,3) &amp; LEFT($A532,3) &amp; RIGHT($A532,4)) + TIMEVALUE($B532), "")</f>
        <v/>
      </c>
      <c r="O532" s="48" t="str">
        <f>IF(Account!$F532&lt;&gt;"", DATEVALUE(MID($A532,4,3) &amp; LEFT($A532,3) &amp; RIGHT($A532,4)), "")</f>
        <v/>
      </c>
      <c r="P532" s="49" t="str">
        <f>IFERROR(VLOOKUP($Q532,Selection!$F:$G,2,false))</f>
        <v/>
      </c>
      <c r="Q532" s="50" t="str">
        <f>IF(AND($X532="change",$H532="EUR"),IF(AND($Z532="Crédit",$N532=$N533),$Q533,IF(AND($Z532="Débit",$N532=$N531),$Q531)),IF(OR(AND(OR($E532&lt;&gt;"",$L532=""),$M532&lt;&gt;0),$A532=""),IFERROR(VLOOKUP($E532,Selection!$E:$F,2,false)),IFERROR(VLOOKUP(SUBSTITUTE($I532,"-","",1),$K533:$Q1119,7,false),VLOOKUP($K532,$K533:$Q1119,7,false))))</f>
        <v/>
      </c>
      <c r="R532" s="49" t="str">
        <f t="shared" si="2"/>
        <v/>
      </c>
      <c r="S532" s="51" t="str">
        <f t="shared" si="3"/>
        <v/>
      </c>
      <c r="T532" s="52" t="str">
        <f t="shared" si="4"/>
        <v/>
      </c>
      <c r="U532" s="46" t="str">
        <f t="shared" si="5"/>
        <v/>
      </c>
      <c r="V532" s="53" t="str">
        <f>IFERROR(__xludf.DUMMYFUNCTION(" IF(Account!$F532&lt;&gt;"""", SPLIT(Account!$F532, "" ""), """")"),"")</f>
        <v/>
      </c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</row>
    <row r="533">
      <c r="A533" s="11"/>
      <c r="B533" s="11"/>
      <c r="C533" s="11"/>
      <c r="D533" s="11"/>
      <c r="E533" s="11"/>
      <c r="F533" s="12"/>
      <c r="G533" s="215"/>
      <c r="H533" s="11"/>
      <c r="I533" s="11"/>
      <c r="J533" s="11"/>
      <c r="K533" s="11"/>
      <c r="L533" s="45" t="str">
        <f t="shared" si="1"/>
        <v/>
      </c>
      <c r="M533" s="46" t="str">
        <f>IFERROR(__xludf.DUMMYFUNCTION("IF(Account!$F533&lt;&gt;"""", VALUE(REGEXREPLACE($I533, ""\,"", ""."")), """")"),"")</f>
        <v/>
      </c>
      <c r="N533" s="47" t="str">
        <f>IF(Account!$F533&lt;&gt;"", DATEVALUE(MID($A533,4,3) &amp; LEFT($A533,3) &amp; RIGHT($A533,4)) + TIMEVALUE($B533), "")</f>
        <v/>
      </c>
      <c r="O533" s="48" t="str">
        <f>IF(Account!$F533&lt;&gt;"", DATEVALUE(MID($A533,4,3) &amp; LEFT($A533,3) &amp; RIGHT($A533,4)), "")</f>
        <v/>
      </c>
      <c r="P533" s="49" t="str">
        <f>IFERROR(VLOOKUP($Q533,Selection!$F:$G,2,false))</f>
        <v/>
      </c>
      <c r="Q533" s="50" t="str">
        <f>IF(AND($X533="change",$H533="EUR"),IF(AND($Z533="Crédit",$N533=$N534),$Q534,IF(AND($Z533="Débit",$N533=$N532),$Q532)),IF(OR(AND(OR($E533&lt;&gt;"",$L533=""),$M533&lt;&gt;0),$A533=""),IFERROR(VLOOKUP($E533,Selection!$E:$F,2,false)),IFERROR(VLOOKUP(SUBSTITUTE($I533,"-","",1),$K534:$Q1119,7,false),VLOOKUP($K533,$K534:$Q1119,7,false))))</f>
        <v/>
      </c>
      <c r="R533" s="49" t="str">
        <f t="shared" si="2"/>
        <v/>
      </c>
      <c r="S533" s="51" t="str">
        <f t="shared" si="3"/>
        <v/>
      </c>
      <c r="T533" s="52" t="str">
        <f t="shared" si="4"/>
        <v/>
      </c>
      <c r="U533" s="46" t="str">
        <f t="shared" si="5"/>
        <v/>
      </c>
      <c r="V533" s="53" t="str">
        <f>IFERROR(__xludf.DUMMYFUNCTION(" IF(Account!$F533&lt;&gt;"""", SPLIT(Account!$F533, "" ""), """")"),"")</f>
        <v/>
      </c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</row>
    <row r="534">
      <c r="A534" s="11"/>
      <c r="B534" s="11"/>
      <c r="C534" s="11"/>
      <c r="D534" s="11"/>
      <c r="E534" s="11"/>
      <c r="F534" s="12"/>
      <c r="G534" s="215"/>
      <c r="H534" s="215"/>
      <c r="I534" s="215"/>
      <c r="J534" s="11"/>
      <c r="K534" s="11"/>
      <c r="L534" s="45" t="str">
        <f t="shared" si="1"/>
        <v/>
      </c>
      <c r="M534" s="46" t="str">
        <f>IFERROR(__xludf.DUMMYFUNCTION("IF(Account!$F534&lt;&gt;"""", VALUE(REGEXREPLACE($I534, ""\,"", ""."")), """")"),"")</f>
        <v/>
      </c>
      <c r="N534" s="47" t="str">
        <f>IF(Account!$F534&lt;&gt;"", DATEVALUE(MID($A534,4,3) &amp; LEFT($A534,3) &amp; RIGHT($A534,4)) + TIMEVALUE($B534), "")</f>
        <v/>
      </c>
      <c r="O534" s="48" t="str">
        <f>IF(Account!$F534&lt;&gt;"", DATEVALUE(MID($A534,4,3) &amp; LEFT($A534,3) &amp; RIGHT($A534,4)), "")</f>
        <v/>
      </c>
      <c r="P534" s="49" t="str">
        <f>IFERROR(VLOOKUP($Q534,Selection!$F:$G,2,false))</f>
        <v/>
      </c>
      <c r="Q534" s="50" t="str">
        <f>IF(AND($X534="change",$H534="EUR"),IF(AND($Z534="Crédit",$N534=$N535),$Q535,IF(AND($Z534="Débit",$N534=$N533),$Q533)),IF(OR(AND(OR($E534&lt;&gt;"",$L534=""),$M534&lt;&gt;0),$A534=""),IFERROR(VLOOKUP($E534,Selection!$E:$F,2,false)),IFERROR(VLOOKUP(SUBSTITUTE($I534,"-","",1),$K535:$Q1119,7,false),VLOOKUP($K534,$K535:$Q1119,7,false))))</f>
        <v/>
      </c>
      <c r="R534" s="49" t="str">
        <f t="shared" si="2"/>
        <v/>
      </c>
      <c r="S534" s="51" t="str">
        <f t="shared" si="3"/>
        <v/>
      </c>
      <c r="T534" s="52" t="str">
        <f t="shared" si="4"/>
        <v/>
      </c>
      <c r="U534" s="46" t="str">
        <f t="shared" si="5"/>
        <v/>
      </c>
      <c r="V534" s="53" t="str">
        <f>IFERROR(__xludf.DUMMYFUNCTION(" IF(Account!$F534&lt;&gt;"""", SPLIT(Account!$F534, "" ""), """")"),"")</f>
        <v/>
      </c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</row>
    <row r="535">
      <c r="A535" s="11"/>
      <c r="B535" s="11"/>
      <c r="C535" s="11"/>
      <c r="D535" s="11"/>
      <c r="E535" s="11"/>
      <c r="F535" s="12"/>
      <c r="G535" s="215"/>
      <c r="H535" s="11"/>
      <c r="I535" s="11"/>
      <c r="J535" s="11"/>
      <c r="K535" s="11"/>
      <c r="L535" s="45" t="str">
        <f t="shared" si="1"/>
        <v/>
      </c>
      <c r="M535" s="46" t="str">
        <f>IFERROR(__xludf.DUMMYFUNCTION("IF(Account!$F535&lt;&gt;"""", VALUE(REGEXREPLACE($I535, ""\,"", ""."")), """")"),"")</f>
        <v/>
      </c>
      <c r="N535" s="47" t="str">
        <f>IF(Account!$F535&lt;&gt;"", DATEVALUE(MID($A535,4,3) &amp; LEFT($A535,3) &amp; RIGHT($A535,4)) + TIMEVALUE($B535), "")</f>
        <v/>
      </c>
      <c r="O535" s="48" t="str">
        <f>IF(Account!$F535&lt;&gt;"", DATEVALUE(MID($A535,4,3) &amp; LEFT($A535,3) &amp; RIGHT($A535,4)), "")</f>
        <v/>
      </c>
      <c r="P535" s="49" t="str">
        <f>IFERROR(VLOOKUP($Q535,Selection!$F:$G,2,false))</f>
        <v/>
      </c>
      <c r="Q535" s="50" t="str">
        <f>IF(AND($X535="change",$H535="EUR"),IF(AND($Z535="Crédit",$N535=$N536),$Q536,IF(AND($Z535="Débit",$N535=$N534),$Q534)),IF(OR(AND(OR($E535&lt;&gt;"",$L535=""),$M535&lt;&gt;0),$A535=""),IFERROR(VLOOKUP($E535,Selection!$E:$F,2,false)),IFERROR(VLOOKUP(SUBSTITUTE($I535,"-","",1),$K536:$Q1119,7,false),VLOOKUP($K535,$K536:$Q1119,7,false))))</f>
        <v/>
      </c>
      <c r="R535" s="49" t="str">
        <f t="shared" si="2"/>
        <v/>
      </c>
      <c r="S535" s="51" t="str">
        <f t="shared" si="3"/>
        <v/>
      </c>
      <c r="T535" s="52" t="str">
        <f t="shared" si="4"/>
        <v/>
      </c>
      <c r="U535" s="46" t="str">
        <f t="shared" si="5"/>
        <v/>
      </c>
      <c r="V535" s="53" t="str">
        <f>IFERROR(__xludf.DUMMYFUNCTION(" IF(Account!$F535&lt;&gt;"""", SPLIT(Account!$F535, "" ""), """")"),"")</f>
        <v/>
      </c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</row>
    <row r="536">
      <c r="A536" s="11"/>
      <c r="B536" s="11"/>
      <c r="C536" s="11"/>
      <c r="D536" s="11"/>
      <c r="E536" s="11"/>
      <c r="F536" s="12"/>
      <c r="G536" s="215"/>
      <c r="H536" s="215"/>
      <c r="I536" s="215"/>
      <c r="J536" s="11"/>
      <c r="K536" s="11"/>
      <c r="L536" s="45" t="str">
        <f t="shared" si="1"/>
        <v/>
      </c>
      <c r="M536" s="46" t="str">
        <f>IFERROR(__xludf.DUMMYFUNCTION("IF(Account!$F536&lt;&gt;"""", VALUE(REGEXREPLACE($I536, ""\,"", ""."")), """")"),"")</f>
        <v/>
      </c>
      <c r="N536" s="47" t="str">
        <f>IF(Account!$F536&lt;&gt;"", DATEVALUE(MID($A536,4,3) &amp; LEFT($A536,3) &amp; RIGHT($A536,4)) + TIMEVALUE($B536), "")</f>
        <v/>
      </c>
      <c r="O536" s="48" t="str">
        <f>IF(Account!$F536&lt;&gt;"", DATEVALUE(MID($A536,4,3) &amp; LEFT($A536,3) &amp; RIGHT($A536,4)), "")</f>
        <v/>
      </c>
      <c r="P536" s="49" t="str">
        <f>IFERROR(VLOOKUP($Q536,Selection!$F:$G,2,false))</f>
        <v/>
      </c>
      <c r="Q536" s="50" t="str">
        <f>IF(AND($X536="change",$H536="EUR"),IF(AND($Z536="Crédit",$N536=$N537),$Q537,IF(AND($Z536="Débit",$N536=$N535),$Q535)),IF(OR(AND(OR($E536&lt;&gt;"",$L536=""),$M536&lt;&gt;0),$A536=""),IFERROR(VLOOKUP($E536,Selection!$E:$F,2,false)),IFERROR(VLOOKUP(SUBSTITUTE($I536,"-","",1),$K537:$Q1119,7,false),VLOOKUP($K536,$K537:$Q1119,7,false))))</f>
        <v/>
      </c>
      <c r="R536" s="49" t="str">
        <f t="shared" si="2"/>
        <v/>
      </c>
      <c r="S536" s="51" t="str">
        <f t="shared" si="3"/>
        <v/>
      </c>
      <c r="T536" s="52" t="str">
        <f t="shared" si="4"/>
        <v/>
      </c>
      <c r="U536" s="46" t="str">
        <f t="shared" si="5"/>
        <v/>
      </c>
      <c r="V536" s="53" t="str">
        <f>IFERROR(__xludf.DUMMYFUNCTION(" IF(Account!$F536&lt;&gt;"""", SPLIT(Account!$F536, "" ""), """")"),"")</f>
        <v/>
      </c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</row>
    <row r="537">
      <c r="A537" s="11"/>
      <c r="B537" s="11"/>
      <c r="C537" s="11"/>
      <c r="D537" s="11"/>
      <c r="E537" s="11"/>
      <c r="F537" s="12"/>
      <c r="G537" s="215"/>
      <c r="H537" s="11"/>
      <c r="I537" s="11"/>
      <c r="J537" s="11"/>
      <c r="K537" s="11"/>
      <c r="L537" s="45" t="str">
        <f t="shared" si="1"/>
        <v/>
      </c>
      <c r="M537" s="46" t="str">
        <f>IFERROR(__xludf.DUMMYFUNCTION("IF(Account!$F537&lt;&gt;"""", VALUE(REGEXREPLACE($I537, ""\,"", ""."")), """")"),"")</f>
        <v/>
      </c>
      <c r="N537" s="47" t="str">
        <f>IF(Account!$F537&lt;&gt;"", DATEVALUE(MID($A537,4,3) &amp; LEFT($A537,3) &amp; RIGHT($A537,4)) + TIMEVALUE($B537), "")</f>
        <v/>
      </c>
      <c r="O537" s="48" t="str">
        <f>IF(Account!$F537&lt;&gt;"", DATEVALUE(MID($A537,4,3) &amp; LEFT($A537,3) &amp; RIGHT($A537,4)), "")</f>
        <v/>
      </c>
      <c r="P537" s="49" t="str">
        <f>IFERROR(VLOOKUP($Q537,Selection!$F:$G,2,false))</f>
        <v/>
      </c>
      <c r="Q537" s="50" t="str">
        <f>IF(AND($X537="change",$H537="EUR"),IF(AND($Z537="Crédit",$N537=$N538),$Q538,IF(AND($Z537="Débit",$N537=$N536),$Q536)),IF(OR(AND(OR($E537&lt;&gt;"",$L537=""),$M537&lt;&gt;0),$A537=""),IFERROR(VLOOKUP($E537,Selection!$E:$F,2,false)),IFERROR(VLOOKUP(SUBSTITUTE($I537,"-","",1),$K538:$Q1119,7,false),VLOOKUP($K537,$K538:$Q1119,7,false))))</f>
        <v/>
      </c>
      <c r="R537" s="49" t="str">
        <f t="shared" si="2"/>
        <v/>
      </c>
      <c r="S537" s="51" t="str">
        <f t="shared" si="3"/>
        <v/>
      </c>
      <c r="T537" s="52" t="str">
        <f t="shared" si="4"/>
        <v/>
      </c>
      <c r="U537" s="46" t="str">
        <f t="shared" si="5"/>
        <v/>
      </c>
      <c r="V537" s="53" t="str">
        <f>IFERROR(__xludf.DUMMYFUNCTION(" IF(Account!$F537&lt;&gt;"""", SPLIT(Account!$F537, "" ""), """")"),"")</f>
        <v/>
      </c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</row>
    <row r="538">
      <c r="A538" s="11"/>
      <c r="B538" s="11"/>
      <c r="C538" s="11"/>
      <c r="D538" s="11"/>
      <c r="E538" s="11"/>
      <c r="F538" s="12"/>
      <c r="G538" s="11"/>
      <c r="H538" s="11"/>
      <c r="I538" s="11"/>
      <c r="J538" s="11"/>
      <c r="K538" s="11"/>
      <c r="L538" s="45" t="str">
        <f t="shared" si="1"/>
        <v/>
      </c>
      <c r="M538" s="46" t="str">
        <f>IFERROR(__xludf.DUMMYFUNCTION("IF(Account!$F538&lt;&gt;"""", VALUE(REGEXREPLACE($I538, ""\,"", ""."")), """")"),"")</f>
        <v/>
      </c>
      <c r="N538" s="47" t="str">
        <f>IF(Account!$F538&lt;&gt;"", DATEVALUE(MID($A538,4,3) &amp; LEFT($A538,3) &amp; RIGHT($A538,4)) + TIMEVALUE($B538), "")</f>
        <v/>
      </c>
      <c r="O538" s="48" t="str">
        <f>IF(Account!$F538&lt;&gt;"", DATEVALUE(MID($A538,4,3) &amp; LEFT($A538,3) &amp; RIGHT($A538,4)), "")</f>
        <v/>
      </c>
      <c r="P538" s="49" t="str">
        <f>IFERROR(VLOOKUP($Q538,Selection!$F:$G,2,false))</f>
        <v/>
      </c>
      <c r="Q538" s="50" t="str">
        <f>IF(AND($X538="change",$H538="EUR"),IF(AND($Z538="Crédit",$N538=$N539),$Q539,IF(AND($Z538="Débit",$N538=$N537),$Q537)),IF(OR(AND(OR($E538&lt;&gt;"",$L538=""),$M538&lt;&gt;0),$A538=""),IFERROR(VLOOKUP($E538,Selection!$E:$F,2,false)),IFERROR(VLOOKUP(SUBSTITUTE($I538,"-","",1),$K539:$Q1119,7,false),VLOOKUP($K538,$K539:$Q1119,7,false))))</f>
        <v/>
      </c>
      <c r="R538" s="49" t="str">
        <f t="shared" si="2"/>
        <v/>
      </c>
      <c r="S538" s="51" t="str">
        <f t="shared" si="3"/>
        <v/>
      </c>
      <c r="T538" s="52" t="str">
        <f t="shared" si="4"/>
        <v/>
      </c>
      <c r="U538" s="46" t="str">
        <f t="shared" si="5"/>
        <v/>
      </c>
      <c r="V538" s="53" t="str">
        <f>IFERROR(__xludf.DUMMYFUNCTION(" IF(Account!$F538&lt;&gt;"""", SPLIT(Account!$F538, "" ""), """")"),"")</f>
        <v/>
      </c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</row>
    <row r="539">
      <c r="A539" s="11"/>
      <c r="B539" s="11"/>
      <c r="C539" s="11"/>
      <c r="D539" s="11"/>
      <c r="E539" s="11"/>
      <c r="F539" s="12"/>
      <c r="G539" s="215"/>
      <c r="H539" s="11"/>
      <c r="I539" s="11"/>
      <c r="J539" s="11"/>
      <c r="K539" s="11"/>
      <c r="L539" s="45" t="str">
        <f t="shared" si="1"/>
        <v/>
      </c>
      <c r="M539" s="46" t="str">
        <f>IFERROR(__xludf.DUMMYFUNCTION("IF(Account!$F539&lt;&gt;"""", VALUE(REGEXREPLACE($I539, ""\,"", ""."")), """")"),"")</f>
        <v/>
      </c>
      <c r="N539" s="47" t="str">
        <f>IF(Account!$F539&lt;&gt;"", DATEVALUE(MID($A539,4,3) &amp; LEFT($A539,3) &amp; RIGHT($A539,4)) + TIMEVALUE($B539), "")</f>
        <v/>
      </c>
      <c r="O539" s="48" t="str">
        <f>IF(Account!$F539&lt;&gt;"", DATEVALUE(MID($A539,4,3) &amp; LEFT($A539,3) &amp; RIGHT($A539,4)), "")</f>
        <v/>
      </c>
      <c r="P539" s="49" t="str">
        <f>IFERROR(VLOOKUP($Q539,Selection!$F:$G,2,false))</f>
        <v/>
      </c>
      <c r="Q539" s="50" t="str">
        <f>IF(AND($X539="change",$H539="EUR"),IF(AND($Z539="Crédit",$N539=$N540),$Q540,IF(AND($Z539="Débit",$N539=$N538),$Q538)),IF(OR(AND(OR($E539&lt;&gt;"",$L539=""),$M539&lt;&gt;0),$A539=""),IFERROR(VLOOKUP($E539,Selection!$E:$F,2,false)),IFERROR(VLOOKUP(SUBSTITUTE($I539,"-","",1),$K540:$Q1119,7,false),VLOOKUP($K539,$K540:$Q1119,7,false))))</f>
        <v/>
      </c>
      <c r="R539" s="49" t="str">
        <f t="shared" si="2"/>
        <v/>
      </c>
      <c r="S539" s="51" t="str">
        <f t="shared" si="3"/>
        <v/>
      </c>
      <c r="T539" s="52" t="str">
        <f t="shared" si="4"/>
        <v/>
      </c>
      <c r="U539" s="46" t="str">
        <f t="shared" si="5"/>
        <v/>
      </c>
      <c r="V539" s="53" t="str">
        <f>IFERROR(__xludf.DUMMYFUNCTION(" IF(Account!$F539&lt;&gt;"""", SPLIT(Account!$F539, "" ""), """")"),"")</f>
        <v/>
      </c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</row>
    <row r="540">
      <c r="A540" s="11"/>
      <c r="B540" s="11"/>
      <c r="C540" s="11"/>
      <c r="D540" s="11"/>
      <c r="E540" s="11"/>
      <c r="F540" s="12"/>
      <c r="G540" s="11"/>
      <c r="H540" s="11"/>
      <c r="I540" s="11"/>
      <c r="J540" s="11"/>
      <c r="K540" s="11"/>
      <c r="L540" s="45" t="str">
        <f t="shared" si="1"/>
        <v/>
      </c>
      <c r="M540" s="46" t="str">
        <f>IFERROR(__xludf.DUMMYFUNCTION("IF(Account!$F540&lt;&gt;"""", VALUE(REGEXREPLACE($I540, ""\,"", ""."")), """")"),"")</f>
        <v/>
      </c>
      <c r="N540" s="47" t="str">
        <f>IF(Account!$F540&lt;&gt;"", DATEVALUE(MID($A540,4,3) &amp; LEFT($A540,3) &amp; RIGHT($A540,4)) + TIMEVALUE($B540), "")</f>
        <v/>
      </c>
      <c r="O540" s="48" t="str">
        <f>IF(Account!$F540&lt;&gt;"", DATEVALUE(MID($A540,4,3) &amp; LEFT($A540,3) &amp; RIGHT($A540,4)), "")</f>
        <v/>
      </c>
      <c r="P540" s="49" t="str">
        <f>IFERROR(VLOOKUP($Q540,Selection!$F:$G,2,false))</f>
        <v/>
      </c>
      <c r="Q540" s="50" t="str">
        <f>IF(AND($X540="change",$H540="EUR"),IF(AND($Z540="Crédit",$N540=$N541),$Q541,IF(AND($Z540="Débit",$N540=$N539),$Q539)),IF(OR(AND(OR($E540&lt;&gt;"",$L540=""),$M540&lt;&gt;0),$A540=""),IFERROR(VLOOKUP($E540,Selection!$E:$F,2,false)),IFERROR(VLOOKUP(SUBSTITUTE($I540,"-","",1),$K541:$Q1119,7,false),VLOOKUP($K540,$K541:$Q1119,7,false))))</f>
        <v/>
      </c>
      <c r="R540" s="49" t="str">
        <f t="shared" si="2"/>
        <v/>
      </c>
      <c r="S540" s="51" t="str">
        <f t="shared" si="3"/>
        <v/>
      </c>
      <c r="T540" s="52" t="str">
        <f t="shared" si="4"/>
        <v/>
      </c>
      <c r="U540" s="46" t="str">
        <f t="shared" si="5"/>
        <v/>
      </c>
      <c r="V540" s="53" t="str">
        <f>IFERROR(__xludf.DUMMYFUNCTION(" IF(Account!$F540&lt;&gt;"""", SPLIT(Account!$F540, "" ""), """")"),"")</f>
        <v/>
      </c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</row>
    <row r="541">
      <c r="A541" s="11"/>
      <c r="B541" s="11"/>
      <c r="C541" s="11"/>
      <c r="D541" s="11"/>
      <c r="E541" s="11"/>
      <c r="F541" s="12"/>
      <c r="G541" s="215"/>
      <c r="H541" s="11"/>
      <c r="I541" s="11"/>
      <c r="J541" s="11"/>
      <c r="K541" s="11"/>
      <c r="L541" s="45" t="str">
        <f t="shared" si="1"/>
        <v/>
      </c>
      <c r="M541" s="46" t="str">
        <f>IFERROR(__xludf.DUMMYFUNCTION("IF(Account!$F541&lt;&gt;"""", VALUE(REGEXREPLACE($I541, ""\,"", ""."")), """")"),"")</f>
        <v/>
      </c>
      <c r="N541" s="47" t="str">
        <f>IF(Account!$F541&lt;&gt;"", DATEVALUE(MID($A541,4,3) &amp; LEFT($A541,3) &amp; RIGHT($A541,4)) + TIMEVALUE($B541), "")</f>
        <v/>
      </c>
      <c r="O541" s="48" t="str">
        <f>IF(Account!$F541&lt;&gt;"", DATEVALUE(MID($A541,4,3) &amp; LEFT($A541,3) &amp; RIGHT($A541,4)), "")</f>
        <v/>
      </c>
      <c r="P541" s="49" t="str">
        <f>IFERROR(VLOOKUP($Q541,Selection!$F:$G,2,false))</f>
        <v/>
      </c>
      <c r="Q541" s="50" t="str">
        <f>IF(AND($X541="change",$H541="EUR"),IF(AND($Z541="Crédit",$N541=$N542),$Q542,IF(AND($Z541="Débit",$N541=$N540),$Q540)),IF(OR(AND(OR($E541&lt;&gt;"",$L541=""),$M541&lt;&gt;0),$A541=""),IFERROR(VLOOKUP($E541,Selection!$E:$F,2,false)),IFERROR(VLOOKUP(SUBSTITUTE($I541,"-","",1),$K542:$Q1119,7,false),VLOOKUP($K541,$K542:$Q1119,7,false))))</f>
        <v/>
      </c>
      <c r="R541" s="49" t="str">
        <f t="shared" si="2"/>
        <v/>
      </c>
      <c r="S541" s="51" t="str">
        <f t="shared" si="3"/>
        <v/>
      </c>
      <c r="T541" s="52" t="str">
        <f t="shared" si="4"/>
        <v/>
      </c>
      <c r="U541" s="46" t="str">
        <f t="shared" si="5"/>
        <v/>
      </c>
      <c r="V541" s="53" t="str">
        <f>IFERROR(__xludf.DUMMYFUNCTION(" IF(Account!$F541&lt;&gt;"""", SPLIT(Account!$F541, "" ""), """")"),"")</f>
        <v/>
      </c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</row>
    <row r="542">
      <c r="A542" s="11"/>
      <c r="B542" s="11"/>
      <c r="C542" s="11"/>
      <c r="D542" s="11"/>
      <c r="E542" s="11"/>
      <c r="F542" s="12"/>
      <c r="G542" s="11"/>
      <c r="H542" s="11"/>
      <c r="I542" s="11"/>
      <c r="J542" s="11"/>
      <c r="K542" s="11"/>
      <c r="L542" s="45" t="str">
        <f t="shared" si="1"/>
        <v/>
      </c>
      <c r="M542" s="46" t="str">
        <f>IFERROR(__xludf.DUMMYFUNCTION("IF(Account!$F542&lt;&gt;"""", VALUE(REGEXREPLACE($I542, ""\,"", ""."")), """")"),"")</f>
        <v/>
      </c>
      <c r="N542" s="47" t="str">
        <f>IF(Account!$F542&lt;&gt;"", DATEVALUE(MID($A542,4,3) &amp; LEFT($A542,3) &amp; RIGHT($A542,4)) + TIMEVALUE($B542), "")</f>
        <v/>
      </c>
      <c r="O542" s="48" t="str">
        <f>IF(Account!$F542&lt;&gt;"", DATEVALUE(MID($A542,4,3) &amp; LEFT($A542,3) &amp; RIGHT($A542,4)), "")</f>
        <v/>
      </c>
      <c r="P542" s="49" t="str">
        <f>IFERROR(VLOOKUP($Q542,Selection!$F:$G,2,false))</f>
        <v/>
      </c>
      <c r="Q542" s="50" t="str">
        <f>IF(AND($X542="change",$H542="EUR"),IF(AND($Z542="Crédit",$N542=$N543),$Q543,IF(AND($Z542="Débit",$N542=$N541),$Q541)),IF(OR(AND(OR($E542&lt;&gt;"",$L542=""),$M542&lt;&gt;0),$A542=""),IFERROR(VLOOKUP($E542,Selection!$E:$F,2,false)),IFERROR(VLOOKUP(SUBSTITUTE($I542,"-","",1),$K543:$Q1119,7,false),VLOOKUP($K542,$K543:$Q1119,7,false))))</f>
        <v/>
      </c>
      <c r="R542" s="49" t="str">
        <f t="shared" si="2"/>
        <v/>
      </c>
      <c r="S542" s="51" t="str">
        <f t="shared" si="3"/>
        <v/>
      </c>
      <c r="T542" s="52" t="str">
        <f t="shared" si="4"/>
        <v/>
      </c>
      <c r="U542" s="46" t="str">
        <f t="shared" si="5"/>
        <v/>
      </c>
      <c r="V542" s="53" t="str">
        <f>IFERROR(__xludf.DUMMYFUNCTION(" IF(Account!$F542&lt;&gt;"""", SPLIT(Account!$F542, "" ""), """")"),"")</f>
        <v/>
      </c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</row>
    <row r="543">
      <c r="A543" s="11"/>
      <c r="B543" s="11"/>
      <c r="C543" s="11"/>
      <c r="D543" s="11"/>
      <c r="E543" s="11"/>
      <c r="F543" s="12"/>
      <c r="G543" s="215"/>
      <c r="H543" s="11"/>
      <c r="I543" s="11"/>
      <c r="J543" s="11"/>
      <c r="K543" s="11"/>
      <c r="L543" s="45" t="str">
        <f t="shared" si="1"/>
        <v/>
      </c>
      <c r="M543" s="46" t="str">
        <f>IFERROR(__xludf.DUMMYFUNCTION("IF(Account!$F543&lt;&gt;"""", VALUE(REGEXREPLACE($I543, ""\,"", ""."")), """")"),"")</f>
        <v/>
      </c>
      <c r="N543" s="47" t="str">
        <f>IF(Account!$F543&lt;&gt;"", DATEVALUE(MID($A543,4,3) &amp; LEFT($A543,3) &amp; RIGHT($A543,4)) + TIMEVALUE($B543), "")</f>
        <v/>
      </c>
      <c r="O543" s="48" t="str">
        <f>IF(Account!$F543&lt;&gt;"", DATEVALUE(MID($A543,4,3) &amp; LEFT($A543,3) &amp; RIGHT($A543,4)), "")</f>
        <v/>
      </c>
      <c r="P543" s="49" t="str">
        <f>IFERROR(VLOOKUP($Q543,Selection!$F:$G,2,false))</f>
        <v/>
      </c>
      <c r="Q543" s="50" t="str">
        <f>IF(AND($X543="change",$H543="EUR"),IF(AND($Z543="Crédit",$N543=$N544),$Q544,IF(AND($Z543="Débit",$N543=$N542),$Q542)),IF(OR(AND(OR($E543&lt;&gt;"",$L543=""),$M543&lt;&gt;0),$A543=""),IFERROR(VLOOKUP($E543,Selection!$E:$F,2,false)),IFERROR(VLOOKUP(SUBSTITUTE($I543,"-","",1),$K544:$Q1119,7,false),VLOOKUP($K543,$K544:$Q1119,7,false))))</f>
        <v/>
      </c>
      <c r="R543" s="49" t="str">
        <f t="shared" si="2"/>
        <v/>
      </c>
      <c r="S543" s="51" t="str">
        <f t="shared" si="3"/>
        <v/>
      </c>
      <c r="T543" s="52" t="str">
        <f t="shared" si="4"/>
        <v/>
      </c>
      <c r="U543" s="46" t="str">
        <f t="shared" si="5"/>
        <v/>
      </c>
      <c r="V543" s="53" t="str">
        <f>IFERROR(__xludf.DUMMYFUNCTION(" IF(Account!$F543&lt;&gt;"""", SPLIT(Account!$F543, "" ""), """")"),"")</f>
        <v/>
      </c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</row>
    <row r="544">
      <c r="A544" s="11"/>
      <c r="B544" s="11"/>
      <c r="C544" s="11"/>
      <c r="D544" s="11"/>
      <c r="E544" s="11"/>
      <c r="F544" s="12"/>
      <c r="G544" s="11"/>
      <c r="H544" s="11"/>
      <c r="I544" s="11"/>
      <c r="J544" s="11"/>
      <c r="K544" s="11"/>
      <c r="L544" s="45" t="str">
        <f t="shared" si="1"/>
        <v/>
      </c>
      <c r="M544" s="46" t="str">
        <f>IFERROR(__xludf.DUMMYFUNCTION("IF(Account!$F544&lt;&gt;"""", VALUE(REGEXREPLACE($I544, ""\,"", ""."")), """")"),"")</f>
        <v/>
      </c>
      <c r="N544" s="47" t="str">
        <f>IF(Account!$F544&lt;&gt;"", DATEVALUE(MID($A544,4,3) &amp; LEFT($A544,3) &amp; RIGHT($A544,4)) + TIMEVALUE($B544), "")</f>
        <v/>
      </c>
      <c r="O544" s="48" t="str">
        <f>IF(Account!$F544&lt;&gt;"", DATEVALUE(MID($A544,4,3) &amp; LEFT($A544,3) &amp; RIGHT($A544,4)), "")</f>
        <v/>
      </c>
      <c r="P544" s="49" t="str">
        <f>IFERROR(VLOOKUP($Q544,Selection!$F:$G,2,false))</f>
        <v/>
      </c>
      <c r="Q544" s="50" t="str">
        <f>IF(AND($X544="change",$H544="EUR"),IF(AND($Z544="Crédit",$N544=$N545),$Q545,IF(AND($Z544="Débit",$N544=$N543),$Q543)),IF(OR(AND(OR($E544&lt;&gt;"",$L544=""),$M544&lt;&gt;0),$A544=""),IFERROR(VLOOKUP($E544,Selection!$E:$F,2,false)),IFERROR(VLOOKUP(SUBSTITUTE($I544,"-","",1),$K545:$Q1119,7,false),VLOOKUP($K544,$K545:$Q1119,7,false))))</f>
        <v/>
      </c>
      <c r="R544" s="49" t="str">
        <f t="shared" si="2"/>
        <v/>
      </c>
      <c r="S544" s="51" t="str">
        <f t="shared" si="3"/>
        <v/>
      </c>
      <c r="T544" s="52" t="str">
        <f t="shared" si="4"/>
        <v/>
      </c>
      <c r="U544" s="46" t="str">
        <f t="shared" si="5"/>
        <v/>
      </c>
      <c r="V544" s="53" t="str">
        <f>IFERROR(__xludf.DUMMYFUNCTION(" IF(Account!$F544&lt;&gt;"""", SPLIT(Account!$F544, "" ""), """")"),"")</f>
        <v/>
      </c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</row>
    <row r="545">
      <c r="A545" s="11"/>
      <c r="B545" s="11"/>
      <c r="C545" s="11"/>
      <c r="D545" s="11"/>
      <c r="E545" s="11"/>
      <c r="F545" s="12"/>
      <c r="G545" s="215"/>
      <c r="H545" s="11"/>
      <c r="I545" s="11"/>
      <c r="J545" s="11"/>
      <c r="K545" s="11"/>
      <c r="L545" s="45" t="str">
        <f t="shared" si="1"/>
        <v/>
      </c>
      <c r="M545" s="46" t="str">
        <f>IFERROR(__xludf.DUMMYFUNCTION("IF(Account!$F545&lt;&gt;"""", VALUE(REGEXREPLACE($I545, ""\,"", ""."")), """")"),"")</f>
        <v/>
      </c>
      <c r="N545" s="47" t="str">
        <f>IF(Account!$F545&lt;&gt;"", DATEVALUE(MID($A545,4,3) &amp; LEFT($A545,3) &amp; RIGHT($A545,4)) + TIMEVALUE($B545), "")</f>
        <v/>
      </c>
      <c r="O545" s="48" t="str">
        <f>IF(Account!$F545&lt;&gt;"", DATEVALUE(MID($A545,4,3) &amp; LEFT($A545,3) &amp; RIGHT($A545,4)), "")</f>
        <v/>
      </c>
      <c r="P545" s="49" t="str">
        <f>IFERROR(VLOOKUP($Q545,Selection!$F:$G,2,false))</f>
        <v/>
      </c>
      <c r="Q545" s="50" t="str">
        <f>IF(AND($X545="change",$H545="EUR"),IF(AND($Z545="Crédit",$N545=$N546),$Q546,IF(AND($Z545="Débit",$N545=$N544),$Q544)),IF(OR(AND(OR($E545&lt;&gt;"",$L545=""),$M545&lt;&gt;0),$A545=""),IFERROR(VLOOKUP($E545,Selection!$E:$F,2,false)),IFERROR(VLOOKUP(SUBSTITUTE($I545,"-","",1),$K546:$Q1119,7,false),VLOOKUP($K545,$K546:$Q1119,7,false))))</f>
        <v/>
      </c>
      <c r="R545" s="49" t="str">
        <f t="shared" si="2"/>
        <v/>
      </c>
      <c r="S545" s="51" t="str">
        <f t="shared" si="3"/>
        <v/>
      </c>
      <c r="T545" s="52" t="str">
        <f t="shared" si="4"/>
        <v/>
      </c>
      <c r="U545" s="46" t="str">
        <f t="shared" si="5"/>
        <v/>
      </c>
      <c r="V545" s="53" t="str">
        <f>IFERROR(__xludf.DUMMYFUNCTION(" IF(Account!$F545&lt;&gt;"""", SPLIT(Account!$F545, "" ""), """")"),"")</f>
        <v/>
      </c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</row>
    <row r="546">
      <c r="A546" s="11"/>
      <c r="B546" s="11"/>
      <c r="C546" s="11"/>
      <c r="D546" s="11"/>
      <c r="E546" s="11"/>
      <c r="F546" s="12"/>
      <c r="G546" s="215"/>
      <c r="H546" s="11"/>
      <c r="I546" s="11"/>
      <c r="J546" s="11"/>
      <c r="K546" s="11"/>
      <c r="L546" s="45" t="str">
        <f t="shared" si="1"/>
        <v/>
      </c>
      <c r="M546" s="46" t="str">
        <f>IFERROR(__xludf.DUMMYFUNCTION("IF(Account!$F546&lt;&gt;"""", VALUE(REGEXREPLACE($I546, ""\,"", ""."")), """")"),"")</f>
        <v/>
      </c>
      <c r="N546" s="47" t="str">
        <f>IF(Account!$F546&lt;&gt;"", DATEVALUE(MID($A546,4,3) &amp; LEFT($A546,3) &amp; RIGHT($A546,4)) + TIMEVALUE($B546), "")</f>
        <v/>
      </c>
      <c r="O546" s="48" t="str">
        <f>IF(Account!$F546&lt;&gt;"", DATEVALUE(MID($A546,4,3) &amp; LEFT($A546,3) &amp; RIGHT($A546,4)), "")</f>
        <v/>
      </c>
      <c r="P546" s="49" t="str">
        <f>IFERROR(VLOOKUP($Q546,Selection!$F:$G,2,false))</f>
        <v/>
      </c>
      <c r="Q546" s="50" t="str">
        <f>IF(AND($X546="change",$H546="EUR"),IF(AND($Z546="Crédit",$N546=$N547),$Q547,IF(AND($Z546="Débit",$N546=$N545),$Q545)),IF(OR(AND(OR($E546&lt;&gt;"",$L546=""),$M546&lt;&gt;0),$A546=""),IFERROR(VLOOKUP($E546,Selection!$E:$F,2,false)),IFERROR(VLOOKUP(SUBSTITUTE($I546,"-","",1),$K547:$Q1119,7,false),VLOOKUP($K546,$K547:$Q1119,7,false))))</f>
        <v/>
      </c>
      <c r="R546" s="49" t="str">
        <f t="shared" si="2"/>
        <v/>
      </c>
      <c r="S546" s="51" t="str">
        <f t="shared" si="3"/>
        <v/>
      </c>
      <c r="T546" s="52" t="str">
        <f t="shared" si="4"/>
        <v/>
      </c>
      <c r="U546" s="46" t="str">
        <f t="shared" si="5"/>
        <v/>
      </c>
      <c r="V546" s="53" t="str">
        <f>IFERROR(__xludf.DUMMYFUNCTION(" IF(Account!$F546&lt;&gt;"""", SPLIT(Account!$F546, "" ""), """")"),"")</f>
        <v/>
      </c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</row>
    <row r="547">
      <c r="A547" s="11"/>
      <c r="B547" s="11"/>
      <c r="C547" s="11"/>
      <c r="D547" s="11"/>
      <c r="E547" s="11"/>
      <c r="F547" s="12"/>
      <c r="G547" s="215"/>
      <c r="H547" s="11"/>
      <c r="I547" s="11"/>
      <c r="J547" s="11"/>
      <c r="K547" s="11"/>
      <c r="L547" s="45" t="str">
        <f t="shared" si="1"/>
        <v/>
      </c>
      <c r="M547" s="46" t="str">
        <f>IFERROR(__xludf.DUMMYFUNCTION("IF(Account!$F547&lt;&gt;"""", VALUE(REGEXREPLACE($I547, ""\,"", ""."")), """")"),"")</f>
        <v/>
      </c>
      <c r="N547" s="47" t="str">
        <f>IF(Account!$F547&lt;&gt;"", DATEVALUE(MID($A547,4,3) &amp; LEFT($A547,3) &amp; RIGHT($A547,4)) + TIMEVALUE($B547), "")</f>
        <v/>
      </c>
      <c r="O547" s="48" t="str">
        <f>IF(Account!$F547&lt;&gt;"", DATEVALUE(MID($A547,4,3) &amp; LEFT($A547,3) &amp; RIGHT($A547,4)), "")</f>
        <v/>
      </c>
      <c r="P547" s="49" t="str">
        <f>IFERROR(VLOOKUP($Q547,Selection!$F:$G,2,false))</f>
        <v/>
      </c>
      <c r="Q547" s="50" t="str">
        <f>IF(AND($X547="change",$H547="EUR"),IF(AND($Z547="Crédit",$N547=$N548),$Q548,IF(AND($Z547="Débit",$N547=$N546),$Q546)),IF(OR(AND(OR($E547&lt;&gt;"",$L547=""),$M547&lt;&gt;0),$A547=""),IFERROR(VLOOKUP($E547,Selection!$E:$F,2,false)),IFERROR(VLOOKUP(SUBSTITUTE($I547,"-","",1),$K548:$Q1119,7,false),VLOOKUP($K547,$K548:$Q1119,7,false))))</f>
        <v/>
      </c>
      <c r="R547" s="49" t="str">
        <f t="shared" si="2"/>
        <v/>
      </c>
      <c r="S547" s="51" t="str">
        <f t="shared" si="3"/>
        <v/>
      </c>
      <c r="T547" s="52" t="str">
        <f t="shared" si="4"/>
        <v/>
      </c>
      <c r="U547" s="46" t="str">
        <f t="shared" si="5"/>
        <v/>
      </c>
      <c r="V547" s="53" t="str">
        <f>IFERROR(__xludf.DUMMYFUNCTION(" IF(Account!$F547&lt;&gt;"""", SPLIT(Account!$F547, "" ""), """")"),"")</f>
        <v/>
      </c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</row>
    <row r="548">
      <c r="A548" s="11"/>
      <c r="B548" s="11"/>
      <c r="C548" s="11"/>
      <c r="D548" s="11"/>
      <c r="E548" s="11"/>
      <c r="F548" s="12"/>
      <c r="G548" s="215"/>
      <c r="H548" s="11"/>
      <c r="I548" s="11"/>
      <c r="J548" s="11"/>
      <c r="K548" s="11"/>
      <c r="L548" s="45" t="str">
        <f t="shared" si="1"/>
        <v/>
      </c>
      <c r="M548" s="46" t="str">
        <f>IFERROR(__xludf.DUMMYFUNCTION("IF(Account!$F548&lt;&gt;"""", VALUE(REGEXREPLACE($I548, ""\,"", ""."")), """")"),"")</f>
        <v/>
      </c>
      <c r="N548" s="47" t="str">
        <f>IF(Account!$F548&lt;&gt;"", DATEVALUE(MID($A548,4,3) &amp; LEFT($A548,3) &amp; RIGHT($A548,4)) + TIMEVALUE($B548), "")</f>
        <v/>
      </c>
      <c r="O548" s="48" t="str">
        <f>IF(Account!$F548&lt;&gt;"", DATEVALUE(MID($A548,4,3) &amp; LEFT($A548,3) &amp; RIGHT($A548,4)), "")</f>
        <v/>
      </c>
      <c r="P548" s="49" t="str">
        <f>IFERROR(VLOOKUP($Q548,Selection!$F:$G,2,false))</f>
        <v/>
      </c>
      <c r="Q548" s="50" t="str">
        <f>IF(AND($X548="change",$H548="EUR"),IF(AND($Z548="Crédit",$N548=$N549),$Q549,IF(AND($Z548="Débit",$N548=$N547),$Q547)),IF(OR(AND(OR($E548&lt;&gt;"",$L548=""),$M548&lt;&gt;0),$A548=""),IFERROR(VLOOKUP($E548,Selection!$E:$F,2,false)),IFERROR(VLOOKUP(SUBSTITUTE($I548,"-","",1),$K549:$Q1119,7,false),VLOOKUP($K548,$K549:$Q1119,7,false))))</f>
        <v/>
      </c>
      <c r="R548" s="49" t="str">
        <f t="shared" si="2"/>
        <v/>
      </c>
      <c r="S548" s="51" t="str">
        <f t="shared" si="3"/>
        <v/>
      </c>
      <c r="T548" s="52" t="str">
        <f t="shared" si="4"/>
        <v/>
      </c>
      <c r="U548" s="46" t="str">
        <f t="shared" si="5"/>
        <v/>
      </c>
      <c r="V548" s="53" t="str">
        <f>IFERROR(__xludf.DUMMYFUNCTION(" IF(Account!$F548&lt;&gt;"""", SPLIT(Account!$F548, "" ""), """")"),"")</f>
        <v/>
      </c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</row>
    <row r="549">
      <c r="A549" s="11"/>
      <c r="B549" s="11"/>
      <c r="C549" s="11"/>
      <c r="D549" s="11"/>
      <c r="E549" s="11"/>
      <c r="F549" s="12"/>
      <c r="G549" s="215"/>
      <c r="H549" s="11"/>
      <c r="I549" s="11"/>
      <c r="J549" s="11"/>
      <c r="K549" s="11"/>
      <c r="L549" s="45" t="str">
        <f t="shared" si="1"/>
        <v/>
      </c>
      <c r="M549" s="46" t="str">
        <f>IFERROR(__xludf.DUMMYFUNCTION("IF(Account!$F549&lt;&gt;"""", VALUE(REGEXREPLACE($I549, ""\,"", ""."")), """")"),"")</f>
        <v/>
      </c>
      <c r="N549" s="47" t="str">
        <f>IF(Account!$F549&lt;&gt;"", DATEVALUE(MID($A549,4,3) &amp; LEFT($A549,3) &amp; RIGHT($A549,4)) + TIMEVALUE($B549), "")</f>
        <v/>
      </c>
      <c r="O549" s="48" t="str">
        <f>IF(Account!$F549&lt;&gt;"", DATEVALUE(MID($A549,4,3) &amp; LEFT($A549,3) &amp; RIGHT($A549,4)), "")</f>
        <v/>
      </c>
      <c r="P549" s="49" t="str">
        <f>IFERROR(VLOOKUP($Q549,Selection!$F:$G,2,false))</f>
        <v/>
      </c>
      <c r="Q549" s="50" t="str">
        <f>IF(AND($X549="change",$H549="EUR"),IF(AND($Z549="Crédit",$N549=$N550),$Q550,IF(AND($Z549="Débit",$N549=$N548),$Q548)),IF(OR(AND(OR($E549&lt;&gt;"",$L549=""),$M549&lt;&gt;0),$A549=""),IFERROR(VLOOKUP($E549,Selection!$E:$F,2,false)),IFERROR(VLOOKUP(SUBSTITUTE($I549,"-","",1),$K550:$Q1119,7,false),VLOOKUP($K549,$K550:$Q1119,7,false))))</f>
        <v/>
      </c>
      <c r="R549" s="49" t="str">
        <f t="shared" si="2"/>
        <v/>
      </c>
      <c r="S549" s="51" t="str">
        <f t="shared" si="3"/>
        <v/>
      </c>
      <c r="T549" s="52" t="str">
        <f t="shared" si="4"/>
        <v/>
      </c>
      <c r="U549" s="46" t="str">
        <f t="shared" si="5"/>
        <v/>
      </c>
      <c r="V549" s="53" t="str">
        <f>IFERROR(__xludf.DUMMYFUNCTION(" IF(Account!$F549&lt;&gt;"""", SPLIT(Account!$F549, "" ""), """")"),"")</f>
        <v/>
      </c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</row>
    <row r="550">
      <c r="A550" s="11"/>
      <c r="B550" s="11"/>
      <c r="C550" s="11"/>
      <c r="D550" s="11"/>
      <c r="E550" s="11"/>
      <c r="F550" s="12"/>
      <c r="G550" s="11"/>
      <c r="H550" s="11"/>
      <c r="I550" s="11"/>
      <c r="J550" s="11"/>
      <c r="K550" s="11"/>
      <c r="L550" s="45" t="str">
        <f t="shared" si="1"/>
        <v/>
      </c>
      <c r="M550" s="46" t="str">
        <f>IFERROR(__xludf.DUMMYFUNCTION("IF(Account!$F550&lt;&gt;"""", VALUE(REGEXREPLACE($I550, ""\,"", ""."")), """")"),"")</f>
        <v/>
      </c>
      <c r="N550" s="47" t="str">
        <f>IF(Account!$F550&lt;&gt;"", DATEVALUE(MID($A550,4,3) &amp; LEFT($A550,3) &amp; RIGHT($A550,4)) + TIMEVALUE($B550), "")</f>
        <v/>
      </c>
      <c r="O550" s="48" t="str">
        <f>IF(Account!$F550&lt;&gt;"", DATEVALUE(MID($A550,4,3) &amp; LEFT($A550,3) &amp; RIGHT($A550,4)), "")</f>
        <v/>
      </c>
      <c r="P550" s="49" t="str">
        <f>IFERROR(VLOOKUP($Q550,Selection!$F:$G,2,false))</f>
        <v/>
      </c>
      <c r="Q550" s="50" t="str">
        <f>IF(AND($X550="change",$H550="EUR"),IF(AND($Z550="Crédit",$N550=$N551),$Q551,IF(AND($Z550="Débit",$N550=$N549),$Q549)),IF(OR(AND(OR($E550&lt;&gt;"",$L550=""),$M550&lt;&gt;0),$A550=""),IFERROR(VLOOKUP($E550,Selection!$E:$F,2,false)),IFERROR(VLOOKUP(SUBSTITUTE($I550,"-","",1),$K551:$Q1119,7,false),VLOOKUP($K550,$K551:$Q1119,7,false))))</f>
        <v/>
      </c>
      <c r="R550" s="49" t="str">
        <f t="shared" si="2"/>
        <v/>
      </c>
      <c r="S550" s="51" t="str">
        <f t="shared" si="3"/>
        <v/>
      </c>
      <c r="T550" s="52" t="str">
        <f t="shared" si="4"/>
        <v/>
      </c>
      <c r="U550" s="46" t="str">
        <f t="shared" si="5"/>
        <v/>
      </c>
      <c r="V550" s="53" t="str">
        <f>IFERROR(__xludf.DUMMYFUNCTION(" IF(Account!$F550&lt;&gt;"""", SPLIT(Account!$F550, "" ""), """")"),"")</f>
        <v/>
      </c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</row>
    <row r="551">
      <c r="A551" s="11"/>
      <c r="B551" s="11"/>
      <c r="C551" s="11"/>
      <c r="D551" s="11"/>
      <c r="E551" s="11"/>
      <c r="F551" s="12"/>
      <c r="G551" s="215"/>
      <c r="H551" s="11"/>
      <c r="I551" s="11"/>
      <c r="J551" s="11"/>
      <c r="K551" s="11"/>
      <c r="L551" s="45" t="str">
        <f t="shared" si="1"/>
        <v/>
      </c>
      <c r="M551" s="46" t="str">
        <f>IFERROR(__xludf.DUMMYFUNCTION("IF(Account!$F551&lt;&gt;"""", VALUE(REGEXREPLACE($I551, ""\,"", ""."")), """")"),"")</f>
        <v/>
      </c>
      <c r="N551" s="47" t="str">
        <f>IF(Account!$F551&lt;&gt;"", DATEVALUE(MID($A551,4,3) &amp; LEFT($A551,3) &amp; RIGHT($A551,4)) + TIMEVALUE($B551), "")</f>
        <v/>
      </c>
      <c r="O551" s="48" t="str">
        <f>IF(Account!$F551&lt;&gt;"", DATEVALUE(MID($A551,4,3) &amp; LEFT($A551,3) &amp; RIGHT($A551,4)), "")</f>
        <v/>
      </c>
      <c r="P551" s="49" t="str">
        <f>IFERROR(VLOOKUP($Q551,Selection!$F:$G,2,false))</f>
        <v/>
      </c>
      <c r="Q551" s="50" t="str">
        <f>IF(AND($X551="change",$H551="EUR"),IF(AND($Z551="Crédit",$N551=$N552),$Q552,IF(AND($Z551="Débit",$N551=$N550),$Q550)),IF(OR(AND(OR($E551&lt;&gt;"",$L551=""),$M551&lt;&gt;0),$A551=""),IFERROR(VLOOKUP($E551,Selection!$E:$F,2,false)),IFERROR(VLOOKUP(SUBSTITUTE($I551,"-","",1),$K552:$Q1119,7,false),VLOOKUP($K551,$K552:$Q1119,7,false))))</f>
        <v/>
      </c>
      <c r="R551" s="49" t="str">
        <f t="shared" si="2"/>
        <v/>
      </c>
      <c r="S551" s="51" t="str">
        <f t="shared" si="3"/>
        <v/>
      </c>
      <c r="T551" s="52" t="str">
        <f t="shared" si="4"/>
        <v/>
      </c>
      <c r="U551" s="46" t="str">
        <f t="shared" si="5"/>
        <v/>
      </c>
      <c r="V551" s="53" t="str">
        <f>IFERROR(__xludf.DUMMYFUNCTION(" IF(Account!$F551&lt;&gt;"""", SPLIT(Account!$F551, "" ""), """")"),"")</f>
        <v/>
      </c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</row>
    <row r="552">
      <c r="A552" s="11"/>
      <c r="B552" s="11"/>
      <c r="C552" s="11"/>
      <c r="D552" s="11"/>
      <c r="E552" s="11"/>
      <c r="F552" s="12"/>
      <c r="G552" s="11"/>
      <c r="H552" s="11"/>
      <c r="I552" s="11"/>
      <c r="J552" s="11"/>
      <c r="K552" s="11"/>
      <c r="L552" s="45" t="str">
        <f t="shared" si="1"/>
        <v/>
      </c>
      <c r="M552" s="46" t="str">
        <f>IFERROR(__xludf.DUMMYFUNCTION("IF(Account!$F552&lt;&gt;"""", VALUE(REGEXREPLACE($I552, ""\,"", ""."")), """")"),"")</f>
        <v/>
      </c>
      <c r="N552" s="47" t="str">
        <f>IF(Account!$F552&lt;&gt;"", DATEVALUE(MID($A552,4,3) &amp; LEFT($A552,3) &amp; RIGHT($A552,4)) + TIMEVALUE($B552), "")</f>
        <v/>
      </c>
      <c r="O552" s="48" t="str">
        <f>IF(Account!$F552&lt;&gt;"", DATEVALUE(MID($A552,4,3) &amp; LEFT($A552,3) &amp; RIGHT($A552,4)), "")</f>
        <v/>
      </c>
      <c r="P552" s="49" t="str">
        <f>IFERROR(VLOOKUP($Q552,Selection!$F:$G,2,false))</f>
        <v/>
      </c>
      <c r="Q552" s="50" t="str">
        <f>IF(AND($X552="change",$H552="EUR"),IF(AND($Z552="Crédit",$N552=$N553),$Q553,IF(AND($Z552="Débit",$N552=$N551),$Q551)),IF(OR(AND(OR($E552&lt;&gt;"",$L552=""),$M552&lt;&gt;0),$A552=""),IFERROR(VLOOKUP($E552,Selection!$E:$F,2,false)),IFERROR(VLOOKUP(SUBSTITUTE($I552,"-","",1),$K553:$Q1119,7,false),VLOOKUP($K552,$K553:$Q1119,7,false))))</f>
        <v/>
      </c>
      <c r="R552" s="49" t="str">
        <f t="shared" si="2"/>
        <v/>
      </c>
      <c r="S552" s="51" t="str">
        <f t="shared" si="3"/>
        <v/>
      </c>
      <c r="T552" s="52" t="str">
        <f t="shared" si="4"/>
        <v/>
      </c>
      <c r="U552" s="46" t="str">
        <f t="shared" si="5"/>
        <v/>
      </c>
      <c r="V552" s="53" t="str">
        <f>IFERROR(__xludf.DUMMYFUNCTION(" IF(Account!$F552&lt;&gt;"""", SPLIT(Account!$F552, "" ""), """")"),"")</f>
        <v/>
      </c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</row>
    <row r="553">
      <c r="A553" s="11"/>
      <c r="B553" s="11"/>
      <c r="C553" s="11"/>
      <c r="D553" s="11"/>
      <c r="E553" s="11"/>
      <c r="F553" s="12"/>
      <c r="G553" s="215"/>
      <c r="H553" s="11"/>
      <c r="I553" s="11"/>
      <c r="J553" s="11"/>
      <c r="K553" s="11"/>
      <c r="L553" s="45" t="str">
        <f t="shared" si="1"/>
        <v/>
      </c>
      <c r="M553" s="46" t="str">
        <f>IFERROR(__xludf.DUMMYFUNCTION("IF(Account!$F553&lt;&gt;"""", VALUE(REGEXREPLACE($I553, ""\,"", ""."")), """")"),"")</f>
        <v/>
      </c>
      <c r="N553" s="47" t="str">
        <f>IF(Account!$F553&lt;&gt;"", DATEVALUE(MID($A553,4,3) &amp; LEFT($A553,3) &amp; RIGHT($A553,4)) + TIMEVALUE($B553), "")</f>
        <v/>
      </c>
      <c r="O553" s="48" t="str">
        <f>IF(Account!$F553&lt;&gt;"", DATEVALUE(MID($A553,4,3) &amp; LEFT($A553,3) &amp; RIGHT($A553,4)), "")</f>
        <v/>
      </c>
      <c r="P553" s="49" t="str">
        <f>IFERROR(VLOOKUP($Q553,Selection!$F:$G,2,false))</f>
        <v/>
      </c>
      <c r="Q553" s="50" t="str">
        <f>IF(AND($X553="change",$H553="EUR"),IF(AND($Z553="Crédit",$N553=$N554),$Q554,IF(AND($Z553="Débit",$N553=$N552),$Q552)),IF(OR(AND(OR($E553&lt;&gt;"",$L553=""),$M553&lt;&gt;0),$A553=""),IFERROR(VLOOKUP($E553,Selection!$E:$F,2,false)),IFERROR(VLOOKUP(SUBSTITUTE($I553,"-","",1),$K554:$Q1119,7,false),VLOOKUP($K553,$K554:$Q1119,7,false))))</f>
        <v/>
      </c>
      <c r="R553" s="49" t="str">
        <f t="shared" si="2"/>
        <v/>
      </c>
      <c r="S553" s="51" t="str">
        <f t="shared" si="3"/>
        <v/>
      </c>
      <c r="T553" s="52" t="str">
        <f t="shared" si="4"/>
        <v/>
      </c>
      <c r="U553" s="46" t="str">
        <f t="shared" si="5"/>
        <v/>
      </c>
      <c r="V553" s="53" t="str">
        <f>IFERROR(__xludf.DUMMYFUNCTION(" IF(Account!$F553&lt;&gt;"""", SPLIT(Account!$F553, "" ""), """")"),"")</f>
        <v/>
      </c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</row>
    <row r="554">
      <c r="A554" s="11"/>
      <c r="B554" s="11"/>
      <c r="C554" s="11"/>
      <c r="D554" s="11"/>
      <c r="E554" s="11"/>
      <c r="F554" s="12"/>
      <c r="G554" s="11"/>
      <c r="H554" s="11"/>
      <c r="I554" s="11"/>
      <c r="J554" s="11"/>
      <c r="K554" s="11"/>
      <c r="L554" s="45" t="str">
        <f t="shared" si="1"/>
        <v/>
      </c>
      <c r="M554" s="46" t="str">
        <f>IFERROR(__xludf.DUMMYFUNCTION("IF(Account!$F554&lt;&gt;"""", VALUE(REGEXREPLACE($I554, ""\,"", ""."")), """")"),"")</f>
        <v/>
      </c>
      <c r="N554" s="47" t="str">
        <f>IF(Account!$F554&lt;&gt;"", DATEVALUE(MID($A554,4,3) &amp; LEFT($A554,3) &amp; RIGHT($A554,4)) + TIMEVALUE($B554), "")</f>
        <v/>
      </c>
      <c r="O554" s="48" t="str">
        <f>IF(Account!$F554&lt;&gt;"", DATEVALUE(MID($A554,4,3) &amp; LEFT($A554,3) &amp; RIGHT($A554,4)), "")</f>
        <v/>
      </c>
      <c r="P554" s="49" t="str">
        <f>IFERROR(VLOOKUP($Q554,Selection!$F:$G,2,false))</f>
        <v/>
      </c>
      <c r="Q554" s="50" t="str">
        <f>IF(AND($X554="change",$H554="EUR"),IF(AND($Z554="Crédit",$N554=$N555),$Q555,IF(AND($Z554="Débit",$N554=$N553),$Q553)),IF(OR(AND(OR($E554&lt;&gt;"",$L554=""),$M554&lt;&gt;0),$A554=""),IFERROR(VLOOKUP($E554,Selection!$E:$F,2,false)),IFERROR(VLOOKUP(SUBSTITUTE($I554,"-","",1),$K555:$Q1119,7,false),VLOOKUP($K554,$K555:$Q1119,7,false))))</f>
        <v/>
      </c>
      <c r="R554" s="49" t="str">
        <f t="shared" si="2"/>
        <v/>
      </c>
      <c r="S554" s="51" t="str">
        <f t="shared" si="3"/>
        <v/>
      </c>
      <c r="T554" s="52" t="str">
        <f t="shared" si="4"/>
        <v/>
      </c>
      <c r="U554" s="46" t="str">
        <f t="shared" si="5"/>
        <v/>
      </c>
      <c r="V554" s="53" t="str">
        <f>IFERROR(__xludf.DUMMYFUNCTION(" IF(Account!$F554&lt;&gt;"""", SPLIT(Account!$F554, "" ""), """")"),"")</f>
        <v/>
      </c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</row>
    <row r="555">
      <c r="A555" s="11"/>
      <c r="B555" s="11"/>
      <c r="C555" s="11"/>
      <c r="D555" s="11"/>
      <c r="E555" s="11"/>
      <c r="F555" s="12"/>
      <c r="G555" s="215"/>
      <c r="H555" s="11"/>
      <c r="I555" s="11"/>
      <c r="J555" s="11"/>
      <c r="K555" s="11"/>
      <c r="L555" s="45" t="str">
        <f t="shared" si="1"/>
        <v/>
      </c>
      <c r="M555" s="46" t="str">
        <f>IFERROR(__xludf.DUMMYFUNCTION("IF(Account!$F555&lt;&gt;"""", VALUE(REGEXREPLACE($I555, ""\,"", ""."")), """")"),"")</f>
        <v/>
      </c>
      <c r="N555" s="47" t="str">
        <f>IF(Account!$F555&lt;&gt;"", DATEVALUE(MID($A555,4,3) &amp; LEFT($A555,3) &amp; RIGHT($A555,4)) + TIMEVALUE($B555), "")</f>
        <v/>
      </c>
      <c r="O555" s="48" t="str">
        <f>IF(Account!$F555&lt;&gt;"", DATEVALUE(MID($A555,4,3) &amp; LEFT($A555,3) &amp; RIGHT($A555,4)), "")</f>
        <v/>
      </c>
      <c r="P555" s="49" t="str">
        <f>IFERROR(VLOOKUP($Q555,Selection!$F:$G,2,false))</f>
        <v/>
      </c>
      <c r="Q555" s="50" t="str">
        <f>IF(AND($X555="change",$H555="EUR"),IF(AND($Z555="Crédit",$N555=$N556),$Q556,IF(AND($Z555="Débit",$N555=$N554),$Q554)),IF(OR(AND(OR($E555&lt;&gt;"",$L555=""),$M555&lt;&gt;0),$A555=""),IFERROR(VLOOKUP($E555,Selection!$E:$F,2,false)),IFERROR(VLOOKUP(SUBSTITUTE($I555,"-","",1),$K556:$Q1119,7,false),VLOOKUP($K555,$K556:$Q1119,7,false))))</f>
        <v/>
      </c>
      <c r="R555" s="49" t="str">
        <f t="shared" si="2"/>
        <v/>
      </c>
      <c r="S555" s="51" t="str">
        <f t="shared" si="3"/>
        <v/>
      </c>
      <c r="T555" s="52" t="str">
        <f t="shared" si="4"/>
        <v/>
      </c>
      <c r="U555" s="46" t="str">
        <f t="shared" si="5"/>
        <v/>
      </c>
      <c r="V555" s="53" t="str">
        <f>IFERROR(__xludf.DUMMYFUNCTION(" IF(Account!$F555&lt;&gt;"""", SPLIT(Account!$F555, "" ""), """")"),"")</f>
        <v/>
      </c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</row>
    <row r="556">
      <c r="A556" s="11"/>
      <c r="B556" s="11"/>
      <c r="C556" s="11"/>
      <c r="D556" s="11"/>
      <c r="E556" s="11"/>
      <c r="F556" s="12"/>
      <c r="G556" s="11"/>
      <c r="H556" s="11"/>
      <c r="I556" s="11"/>
      <c r="J556" s="11"/>
      <c r="K556" s="11"/>
      <c r="L556" s="45" t="str">
        <f t="shared" si="1"/>
        <v/>
      </c>
      <c r="M556" s="46" t="str">
        <f>IFERROR(__xludf.DUMMYFUNCTION("IF(Account!$F556&lt;&gt;"""", VALUE(REGEXREPLACE($I556, ""\,"", ""."")), """")"),"")</f>
        <v/>
      </c>
      <c r="N556" s="47" t="str">
        <f>IF(Account!$F556&lt;&gt;"", DATEVALUE(MID($A556,4,3) &amp; LEFT($A556,3) &amp; RIGHT($A556,4)) + TIMEVALUE($B556), "")</f>
        <v/>
      </c>
      <c r="O556" s="48" t="str">
        <f>IF(Account!$F556&lt;&gt;"", DATEVALUE(MID($A556,4,3) &amp; LEFT($A556,3) &amp; RIGHT($A556,4)), "")</f>
        <v/>
      </c>
      <c r="P556" s="49" t="str">
        <f>IFERROR(VLOOKUP($Q556,Selection!$F:$G,2,false))</f>
        <v/>
      </c>
      <c r="Q556" s="50" t="str">
        <f>IF(AND($X556="change",$H556="EUR"),IF(AND($Z556="Crédit",$N556=$N557),$Q557,IF(AND($Z556="Débit",$N556=$N555),$Q555)),IF(OR(AND(OR($E556&lt;&gt;"",$L556=""),$M556&lt;&gt;0),$A556=""),IFERROR(VLOOKUP($E556,Selection!$E:$F,2,false)),IFERROR(VLOOKUP(SUBSTITUTE($I556,"-","",1),$K557:$Q1119,7,false),VLOOKUP($K556,$K557:$Q1119,7,false))))</f>
        <v/>
      </c>
      <c r="R556" s="49" t="str">
        <f t="shared" si="2"/>
        <v/>
      </c>
      <c r="S556" s="51" t="str">
        <f t="shared" si="3"/>
        <v/>
      </c>
      <c r="T556" s="52" t="str">
        <f t="shared" si="4"/>
        <v/>
      </c>
      <c r="U556" s="46" t="str">
        <f t="shared" si="5"/>
        <v/>
      </c>
      <c r="V556" s="53" t="str">
        <f>IFERROR(__xludf.DUMMYFUNCTION(" IF(Account!$F556&lt;&gt;"""", SPLIT(Account!$F556, "" ""), """")"),"")</f>
        <v/>
      </c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</row>
    <row r="557">
      <c r="A557" s="11"/>
      <c r="B557" s="11"/>
      <c r="C557" s="11"/>
      <c r="D557" s="11"/>
      <c r="E557" s="11"/>
      <c r="F557" s="12"/>
      <c r="G557" s="215"/>
      <c r="H557" s="11"/>
      <c r="I557" s="11"/>
      <c r="J557" s="11"/>
      <c r="K557" s="11"/>
      <c r="L557" s="45" t="str">
        <f t="shared" si="1"/>
        <v/>
      </c>
      <c r="M557" s="46" t="str">
        <f>IFERROR(__xludf.DUMMYFUNCTION("IF(Account!$F557&lt;&gt;"""", VALUE(REGEXREPLACE($I557, ""\,"", ""."")), """")"),"")</f>
        <v/>
      </c>
      <c r="N557" s="47" t="str">
        <f>IF(Account!$F557&lt;&gt;"", DATEVALUE(MID($A557,4,3) &amp; LEFT($A557,3) &amp; RIGHT($A557,4)) + TIMEVALUE($B557), "")</f>
        <v/>
      </c>
      <c r="O557" s="48" t="str">
        <f>IF(Account!$F557&lt;&gt;"", DATEVALUE(MID($A557,4,3) &amp; LEFT($A557,3) &amp; RIGHT($A557,4)), "")</f>
        <v/>
      </c>
      <c r="P557" s="49" t="str">
        <f>IFERROR(VLOOKUP($Q557,Selection!$F:$G,2,false))</f>
        <v/>
      </c>
      <c r="Q557" s="50" t="str">
        <f>IF(AND($X557="change",$H557="EUR"),IF(AND($Z557="Crédit",$N557=$N558),$Q558,IF(AND($Z557="Débit",$N557=$N556),$Q556)),IF(OR(AND(OR($E557&lt;&gt;"",$L557=""),$M557&lt;&gt;0),$A557=""),IFERROR(VLOOKUP($E557,Selection!$E:$F,2,false)),IFERROR(VLOOKUP(SUBSTITUTE($I557,"-","",1),$K558:$Q1119,7,false),VLOOKUP($K557,$K558:$Q1119,7,false))))</f>
        <v/>
      </c>
      <c r="R557" s="49" t="str">
        <f t="shared" si="2"/>
        <v/>
      </c>
      <c r="S557" s="51" t="str">
        <f t="shared" si="3"/>
        <v/>
      </c>
      <c r="T557" s="52" t="str">
        <f t="shared" si="4"/>
        <v/>
      </c>
      <c r="U557" s="46" t="str">
        <f t="shared" si="5"/>
        <v/>
      </c>
      <c r="V557" s="53" t="str">
        <f>IFERROR(__xludf.DUMMYFUNCTION(" IF(Account!$F557&lt;&gt;"""", SPLIT(Account!$F557, "" ""), """")"),"")</f>
        <v/>
      </c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</row>
    <row r="558">
      <c r="A558" s="11"/>
      <c r="B558" s="11"/>
      <c r="C558" s="11"/>
      <c r="D558" s="11"/>
      <c r="E558" s="11"/>
      <c r="F558" s="12"/>
      <c r="G558" s="11"/>
      <c r="H558" s="11"/>
      <c r="I558" s="11"/>
      <c r="J558" s="11"/>
      <c r="K558" s="11"/>
      <c r="L558" s="45" t="str">
        <f t="shared" si="1"/>
        <v/>
      </c>
      <c r="M558" s="46" t="str">
        <f>IFERROR(__xludf.DUMMYFUNCTION("IF(Account!$F558&lt;&gt;"""", VALUE(REGEXREPLACE($I558, ""\,"", ""."")), """")"),"")</f>
        <v/>
      </c>
      <c r="N558" s="47" t="str">
        <f>IF(Account!$F558&lt;&gt;"", DATEVALUE(MID($A558,4,3) &amp; LEFT($A558,3) &amp; RIGHT($A558,4)) + TIMEVALUE($B558), "")</f>
        <v/>
      </c>
      <c r="O558" s="48" t="str">
        <f>IF(Account!$F558&lt;&gt;"", DATEVALUE(MID($A558,4,3) &amp; LEFT($A558,3) &amp; RIGHT($A558,4)), "")</f>
        <v/>
      </c>
      <c r="P558" s="49" t="str">
        <f>IFERROR(VLOOKUP($Q558,Selection!$F:$G,2,false))</f>
        <v/>
      </c>
      <c r="Q558" s="50" t="str">
        <f>IF(AND($X558="change",$H558="EUR"),IF(AND($Z558="Crédit",$N558=$N559),$Q559,IF(AND($Z558="Débit",$N558=$N557),$Q557)),IF(OR(AND(OR($E558&lt;&gt;"",$L558=""),$M558&lt;&gt;0),$A558=""),IFERROR(VLOOKUP($E558,Selection!$E:$F,2,false)),IFERROR(VLOOKUP(SUBSTITUTE($I558,"-","",1),$K559:$Q1119,7,false),VLOOKUP($K558,$K559:$Q1119,7,false))))</f>
        <v/>
      </c>
      <c r="R558" s="49" t="str">
        <f t="shared" si="2"/>
        <v/>
      </c>
      <c r="S558" s="51" t="str">
        <f t="shared" si="3"/>
        <v/>
      </c>
      <c r="T558" s="52" t="str">
        <f t="shared" si="4"/>
        <v/>
      </c>
      <c r="U558" s="46" t="str">
        <f t="shared" si="5"/>
        <v/>
      </c>
      <c r="V558" s="53" t="str">
        <f>IFERROR(__xludf.DUMMYFUNCTION(" IF(Account!$F558&lt;&gt;"""", SPLIT(Account!$F558, "" ""), """")"),"")</f>
        <v/>
      </c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</row>
    <row r="559">
      <c r="A559" s="11"/>
      <c r="B559" s="11"/>
      <c r="C559" s="11"/>
      <c r="D559" s="11"/>
      <c r="E559" s="11"/>
      <c r="F559" s="12"/>
      <c r="G559" s="215"/>
      <c r="H559" s="11"/>
      <c r="I559" s="11"/>
      <c r="J559" s="11"/>
      <c r="K559" s="11"/>
      <c r="L559" s="45" t="str">
        <f t="shared" si="1"/>
        <v/>
      </c>
      <c r="M559" s="46" t="str">
        <f>IFERROR(__xludf.DUMMYFUNCTION("IF(Account!$F559&lt;&gt;"""", VALUE(REGEXREPLACE($I559, ""\,"", ""."")), """")"),"")</f>
        <v/>
      </c>
      <c r="N559" s="47" t="str">
        <f>IF(Account!$F559&lt;&gt;"", DATEVALUE(MID($A559,4,3) &amp; LEFT($A559,3) &amp; RIGHT($A559,4)) + TIMEVALUE($B559), "")</f>
        <v/>
      </c>
      <c r="O559" s="48" t="str">
        <f>IF(Account!$F559&lt;&gt;"", DATEVALUE(MID($A559,4,3) &amp; LEFT($A559,3) &amp; RIGHT($A559,4)), "")</f>
        <v/>
      </c>
      <c r="P559" s="49" t="str">
        <f>IFERROR(VLOOKUP($Q559,Selection!$F:$G,2,false))</f>
        <v/>
      </c>
      <c r="Q559" s="50" t="str">
        <f>IF(AND($X559="change",$H559="EUR"),IF(AND($Z559="Crédit",$N559=$N560),$Q560,IF(AND($Z559="Débit",$N559=$N558),$Q558)),IF(OR(AND(OR($E559&lt;&gt;"",$L559=""),$M559&lt;&gt;0),$A559=""),IFERROR(VLOOKUP($E559,Selection!$E:$F,2,false)),IFERROR(VLOOKUP(SUBSTITUTE($I559,"-","",1),$K560:$Q1119,7,false),VLOOKUP($K559,$K560:$Q1119,7,false))))</f>
        <v/>
      </c>
      <c r="R559" s="49" t="str">
        <f t="shared" si="2"/>
        <v/>
      </c>
      <c r="S559" s="51" t="str">
        <f t="shared" si="3"/>
        <v/>
      </c>
      <c r="T559" s="52" t="str">
        <f t="shared" si="4"/>
        <v/>
      </c>
      <c r="U559" s="46" t="str">
        <f t="shared" si="5"/>
        <v/>
      </c>
      <c r="V559" s="53" t="str">
        <f>IFERROR(__xludf.DUMMYFUNCTION(" IF(Account!$F559&lt;&gt;"""", SPLIT(Account!$F559, "" ""), """")"),"")</f>
        <v/>
      </c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</row>
    <row r="560">
      <c r="A560" s="11"/>
      <c r="B560" s="11"/>
      <c r="C560" s="11"/>
      <c r="D560" s="11"/>
      <c r="E560" s="11"/>
      <c r="F560" s="12"/>
      <c r="G560" s="11"/>
      <c r="H560" s="11"/>
      <c r="I560" s="11"/>
      <c r="J560" s="11"/>
      <c r="K560" s="11"/>
      <c r="L560" s="45" t="str">
        <f t="shared" si="1"/>
        <v/>
      </c>
      <c r="M560" s="46" t="str">
        <f>IFERROR(__xludf.DUMMYFUNCTION("IF(Account!$F560&lt;&gt;"""", VALUE(REGEXREPLACE($I560, ""\,"", ""."")), """")"),"")</f>
        <v/>
      </c>
      <c r="N560" s="47" t="str">
        <f>IF(Account!$F560&lt;&gt;"", DATEVALUE(MID($A560,4,3) &amp; LEFT($A560,3) &amp; RIGHT($A560,4)) + TIMEVALUE($B560), "")</f>
        <v/>
      </c>
      <c r="O560" s="48" t="str">
        <f>IF(Account!$F560&lt;&gt;"", DATEVALUE(MID($A560,4,3) &amp; LEFT($A560,3) &amp; RIGHT($A560,4)), "")</f>
        <v/>
      </c>
      <c r="P560" s="49" t="str">
        <f>IFERROR(VLOOKUP($Q560,Selection!$F:$G,2,false))</f>
        <v/>
      </c>
      <c r="Q560" s="50" t="str">
        <f>IF(AND($X560="change",$H560="EUR"),IF(AND($Z560="Crédit",$N560=$N561),$Q561,IF(AND($Z560="Débit",$N560=$N559),$Q559)),IF(OR(AND(OR($E560&lt;&gt;"",$L560=""),$M560&lt;&gt;0),$A560=""),IFERROR(VLOOKUP($E560,Selection!$E:$F,2,false)),IFERROR(VLOOKUP(SUBSTITUTE($I560,"-","",1),$K561:$Q1119,7,false),VLOOKUP($K560,$K561:$Q1119,7,false))))</f>
        <v/>
      </c>
      <c r="R560" s="49" t="str">
        <f t="shared" si="2"/>
        <v/>
      </c>
      <c r="S560" s="51" t="str">
        <f t="shared" si="3"/>
        <v/>
      </c>
      <c r="T560" s="52" t="str">
        <f t="shared" si="4"/>
        <v/>
      </c>
      <c r="U560" s="46" t="str">
        <f t="shared" si="5"/>
        <v/>
      </c>
      <c r="V560" s="53" t="str">
        <f>IFERROR(__xludf.DUMMYFUNCTION(" IF(Account!$F560&lt;&gt;"""", SPLIT(Account!$F560, "" ""), """")"),"")</f>
        <v/>
      </c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</row>
    <row r="561">
      <c r="A561" s="11"/>
      <c r="B561" s="11"/>
      <c r="C561" s="11"/>
      <c r="D561" s="11"/>
      <c r="E561" s="11"/>
      <c r="F561" s="12"/>
      <c r="G561" s="215"/>
      <c r="H561" s="11"/>
      <c r="I561" s="11"/>
      <c r="J561" s="11"/>
      <c r="K561" s="11"/>
      <c r="L561" s="45" t="str">
        <f t="shared" si="1"/>
        <v/>
      </c>
      <c r="M561" s="46" t="str">
        <f>IFERROR(__xludf.DUMMYFUNCTION("IF(Account!$F561&lt;&gt;"""", VALUE(REGEXREPLACE($I561, ""\,"", ""."")), """")"),"")</f>
        <v/>
      </c>
      <c r="N561" s="47" t="str">
        <f>IF(Account!$F561&lt;&gt;"", DATEVALUE(MID($A561,4,3) &amp; LEFT($A561,3) &amp; RIGHT($A561,4)) + TIMEVALUE($B561), "")</f>
        <v/>
      </c>
      <c r="O561" s="48" t="str">
        <f>IF(Account!$F561&lt;&gt;"", DATEVALUE(MID($A561,4,3) &amp; LEFT($A561,3) &amp; RIGHT($A561,4)), "")</f>
        <v/>
      </c>
      <c r="P561" s="49" t="str">
        <f>IFERROR(VLOOKUP($Q561,Selection!$F:$G,2,false))</f>
        <v/>
      </c>
      <c r="Q561" s="50" t="str">
        <f>IF(AND($X561="change",$H561="EUR"),IF(AND($Z561="Crédit",$N561=$N562),$Q562,IF(AND($Z561="Débit",$N561=$N560),$Q560)),IF(OR(AND(OR($E561&lt;&gt;"",$L561=""),$M561&lt;&gt;0),$A561=""),IFERROR(VLOOKUP($E561,Selection!$E:$F,2,false)),IFERROR(VLOOKUP(SUBSTITUTE($I561,"-","",1),$K562:$Q1119,7,false),VLOOKUP($K561,$K562:$Q1119,7,false))))</f>
        <v/>
      </c>
      <c r="R561" s="49" t="str">
        <f t="shared" si="2"/>
        <v/>
      </c>
      <c r="S561" s="51" t="str">
        <f t="shared" si="3"/>
        <v/>
      </c>
      <c r="T561" s="52" t="str">
        <f t="shared" si="4"/>
        <v/>
      </c>
      <c r="U561" s="46" t="str">
        <f t="shared" si="5"/>
        <v/>
      </c>
      <c r="V561" s="53" t="str">
        <f>IFERROR(__xludf.DUMMYFUNCTION(" IF(Account!$F561&lt;&gt;"""", SPLIT(Account!$F561, "" ""), """")"),"")</f>
        <v/>
      </c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</row>
    <row r="562">
      <c r="A562" s="11"/>
      <c r="B562" s="11"/>
      <c r="C562" s="11"/>
      <c r="D562" s="11"/>
      <c r="E562" s="11"/>
      <c r="F562" s="12"/>
      <c r="G562" s="215"/>
      <c r="H562" s="11"/>
      <c r="I562" s="11"/>
      <c r="J562" s="11"/>
      <c r="K562" s="11"/>
      <c r="L562" s="45" t="str">
        <f t="shared" si="1"/>
        <v/>
      </c>
      <c r="M562" s="46" t="str">
        <f>IFERROR(__xludf.DUMMYFUNCTION("IF(Account!$F562&lt;&gt;"""", VALUE(REGEXREPLACE($I562, ""\,"", ""."")), """")"),"")</f>
        <v/>
      </c>
      <c r="N562" s="47" t="str">
        <f>IF(Account!$F562&lt;&gt;"", DATEVALUE(MID($A562,4,3) &amp; LEFT($A562,3) &amp; RIGHT($A562,4)) + TIMEVALUE($B562), "")</f>
        <v/>
      </c>
      <c r="O562" s="48" t="str">
        <f>IF(Account!$F562&lt;&gt;"", DATEVALUE(MID($A562,4,3) &amp; LEFT($A562,3) &amp; RIGHT($A562,4)), "")</f>
        <v/>
      </c>
      <c r="P562" s="49" t="str">
        <f>IFERROR(VLOOKUP($Q562,Selection!$F:$G,2,false))</f>
        <v/>
      </c>
      <c r="Q562" s="50" t="str">
        <f>IF(AND($X562="change",$H562="EUR"),IF(AND($Z562="Crédit",$N562=$N563),$Q563,IF(AND($Z562="Débit",$N562=$N561),$Q561)),IF(OR(AND(OR($E562&lt;&gt;"",$L562=""),$M562&lt;&gt;0),$A562=""),IFERROR(VLOOKUP($E562,Selection!$E:$F,2,false)),IFERROR(VLOOKUP(SUBSTITUTE($I562,"-","",1),$K563:$Q1119,7,false),VLOOKUP($K562,$K563:$Q1119,7,false))))</f>
        <v/>
      </c>
      <c r="R562" s="49" t="str">
        <f t="shared" si="2"/>
        <v/>
      </c>
      <c r="S562" s="51" t="str">
        <f t="shared" si="3"/>
        <v/>
      </c>
      <c r="T562" s="52" t="str">
        <f t="shared" si="4"/>
        <v/>
      </c>
      <c r="U562" s="46" t="str">
        <f t="shared" si="5"/>
        <v/>
      </c>
      <c r="V562" s="53" t="str">
        <f>IFERROR(__xludf.DUMMYFUNCTION(" IF(Account!$F562&lt;&gt;"""", SPLIT(Account!$F562, "" ""), """")"),"")</f>
        <v/>
      </c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</row>
    <row r="563">
      <c r="A563" s="11"/>
      <c r="B563" s="11"/>
      <c r="C563" s="11"/>
      <c r="D563" s="11"/>
      <c r="E563" s="11"/>
      <c r="F563" s="12"/>
      <c r="G563" s="215"/>
      <c r="H563" s="11"/>
      <c r="I563" s="11"/>
      <c r="J563" s="11"/>
      <c r="K563" s="11"/>
      <c r="L563" s="45" t="str">
        <f t="shared" si="1"/>
        <v/>
      </c>
      <c r="M563" s="46" t="str">
        <f>IFERROR(__xludf.DUMMYFUNCTION("IF(Account!$F563&lt;&gt;"""", VALUE(REGEXREPLACE($I563, ""\,"", ""."")), """")"),"")</f>
        <v/>
      </c>
      <c r="N563" s="47" t="str">
        <f>IF(Account!$F563&lt;&gt;"", DATEVALUE(MID($A563,4,3) &amp; LEFT($A563,3) &amp; RIGHT($A563,4)) + TIMEVALUE($B563), "")</f>
        <v/>
      </c>
      <c r="O563" s="48" t="str">
        <f>IF(Account!$F563&lt;&gt;"", DATEVALUE(MID($A563,4,3) &amp; LEFT($A563,3) &amp; RIGHT($A563,4)), "")</f>
        <v/>
      </c>
      <c r="P563" s="49" t="str">
        <f>IFERROR(VLOOKUP($Q563,Selection!$F:$G,2,false))</f>
        <v/>
      </c>
      <c r="Q563" s="50" t="str">
        <f>IF(AND($X563="change",$H563="EUR"),IF(AND($Z563="Crédit",$N563=$N564),$Q564,IF(AND($Z563="Débit",$N563=$N562),$Q562)),IF(OR(AND(OR($E563&lt;&gt;"",$L563=""),$M563&lt;&gt;0),$A563=""),IFERROR(VLOOKUP($E563,Selection!$E:$F,2,false)),IFERROR(VLOOKUP(SUBSTITUTE($I563,"-","",1),$K564:$Q1119,7,false),VLOOKUP($K563,$K564:$Q1119,7,false))))</f>
        <v/>
      </c>
      <c r="R563" s="49" t="str">
        <f t="shared" si="2"/>
        <v/>
      </c>
      <c r="S563" s="51" t="str">
        <f t="shared" si="3"/>
        <v/>
      </c>
      <c r="T563" s="52" t="str">
        <f t="shared" si="4"/>
        <v/>
      </c>
      <c r="U563" s="46" t="str">
        <f t="shared" si="5"/>
        <v/>
      </c>
      <c r="V563" s="53" t="str">
        <f>IFERROR(__xludf.DUMMYFUNCTION(" IF(Account!$F563&lt;&gt;"""", SPLIT(Account!$F563, "" ""), """")"),"")</f>
        <v/>
      </c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</row>
    <row r="564">
      <c r="A564" s="11"/>
      <c r="B564" s="11"/>
      <c r="C564" s="11"/>
      <c r="D564" s="11"/>
      <c r="E564" s="11"/>
      <c r="F564" s="12"/>
      <c r="G564" s="215"/>
      <c r="H564" s="11"/>
      <c r="I564" s="11"/>
      <c r="J564" s="11"/>
      <c r="K564" s="11"/>
      <c r="L564" s="45" t="str">
        <f t="shared" si="1"/>
        <v/>
      </c>
      <c r="M564" s="46" t="str">
        <f>IFERROR(__xludf.DUMMYFUNCTION("IF(Account!$F564&lt;&gt;"""", VALUE(REGEXREPLACE($I564, ""\,"", ""."")), """")"),"")</f>
        <v/>
      </c>
      <c r="N564" s="47" t="str">
        <f>IF(Account!$F564&lt;&gt;"", DATEVALUE(MID($A564,4,3) &amp; LEFT($A564,3) &amp; RIGHT($A564,4)) + TIMEVALUE($B564), "")</f>
        <v/>
      </c>
      <c r="O564" s="48" t="str">
        <f>IF(Account!$F564&lt;&gt;"", DATEVALUE(MID($A564,4,3) &amp; LEFT($A564,3) &amp; RIGHT($A564,4)), "")</f>
        <v/>
      </c>
      <c r="P564" s="49" t="str">
        <f>IFERROR(VLOOKUP($Q564,Selection!$F:$G,2,false))</f>
        <v/>
      </c>
      <c r="Q564" s="50" t="str">
        <f>IF(AND($X564="change",$H564="EUR"),IF(AND($Z564="Crédit",$N564=$N565),$Q565,IF(AND($Z564="Débit",$N564=$N563),$Q563)),IF(OR(AND(OR($E564&lt;&gt;"",$L564=""),$M564&lt;&gt;0),$A564=""),IFERROR(VLOOKUP($E564,Selection!$E:$F,2,false)),IFERROR(VLOOKUP(SUBSTITUTE($I564,"-","",1),$K565:$Q1119,7,false),VLOOKUP($K564,$K565:$Q1119,7,false))))</f>
        <v/>
      </c>
      <c r="R564" s="49" t="str">
        <f t="shared" si="2"/>
        <v/>
      </c>
      <c r="S564" s="51" t="str">
        <f t="shared" si="3"/>
        <v/>
      </c>
      <c r="T564" s="52" t="str">
        <f t="shared" si="4"/>
        <v/>
      </c>
      <c r="U564" s="46" t="str">
        <f t="shared" si="5"/>
        <v/>
      </c>
      <c r="V564" s="53" t="str">
        <f>IFERROR(__xludf.DUMMYFUNCTION(" IF(Account!$F564&lt;&gt;"""", SPLIT(Account!$F564, "" ""), """")"),"")</f>
        <v/>
      </c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</row>
    <row r="565">
      <c r="A565" s="11"/>
      <c r="B565" s="11"/>
      <c r="C565" s="11"/>
      <c r="D565" s="11"/>
      <c r="E565" s="11"/>
      <c r="F565" s="12"/>
      <c r="G565" s="215"/>
      <c r="H565" s="11"/>
      <c r="I565" s="11"/>
      <c r="J565" s="11"/>
      <c r="K565" s="11"/>
      <c r="L565" s="45" t="str">
        <f t="shared" si="1"/>
        <v/>
      </c>
      <c r="M565" s="46" t="str">
        <f>IFERROR(__xludf.DUMMYFUNCTION("IF(Account!$F565&lt;&gt;"""", VALUE(REGEXREPLACE($I565, ""\,"", ""."")), """")"),"")</f>
        <v/>
      </c>
      <c r="N565" s="47" t="str">
        <f>IF(Account!$F565&lt;&gt;"", DATEVALUE(MID($A565,4,3) &amp; LEFT($A565,3) &amp; RIGHT($A565,4)) + TIMEVALUE($B565), "")</f>
        <v/>
      </c>
      <c r="O565" s="48" t="str">
        <f>IF(Account!$F565&lt;&gt;"", DATEVALUE(MID($A565,4,3) &amp; LEFT($A565,3) &amp; RIGHT($A565,4)), "")</f>
        <v/>
      </c>
      <c r="P565" s="49" t="str">
        <f>IFERROR(VLOOKUP($Q565,Selection!$F:$G,2,false))</f>
        <v/>
      </c>
      <c r="Q565" s="50" t="str">
        <f>IF(AND($X565="change",$H565="EUR"),IF(AND($Z565="Crédit",$N565=$N566),$Q566,IF(AND($Z565="Débit",$N565=$N564),$Q564)),IF(OR(AND(OR($E565&lt;&gt;"",$L565=""),$M565&lt;&gt;0),$A565=""),IFERROR(VLOOKUP($E565,Selection!$E:$F,2,false)),IFERROR(VLOOKUP(SUBSTITUTE($I565,"-","",1),$K566:$Q1119,7,false),VLOOKUP($K565,$K566:$Q1119,7,false))))</f>
        <v/>
      </c>
      <c r="R565" s="49" t="str">
        <f t="shared" si="2"/>
        <v/>
      </c>
      <c r="S565" s="51" t="str">
        <f t="shared" si="3"/>
        <v/>
      </c>
      <c r="T565" s="52" t="str">
        <f t="shared" si="4"/>
        <v/>
      </c>
      <c r="U565" s="46" t="str">
        <f t="shared" si="5"/>
        <v/>
      </c>
      <c r="V565" s="53" t="str">
        <f>IFERROR(__xludf.DUMMYFUNCTION(" IF(Account!$F565&lt;&gt;"""", SPLIT(Account!$F565, "" ""), """")"),"")</f>
        <v/>
      </c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</row>
    <row r="566">
      <c r="A566" s="11"/>
      <c r="B566" s="11"/>
      <c r="C566" s="11"/>
      <c r="D566" s="11"/>
      <c r="E566" s="11"/>
      <c r="F566" s="12"/>
      <c r="G566" s="215"/>
      <c r="H566" s="11"/>
      <c r="I566" s="11"/>
      <c r="J566" s="11"/>
      <c r="K566" s="11"/>
      <c r="L566" s="45" t="str">
        <f t="shared" si="1"/>
        <v/>
      </c>
      <c r="M566" s="46" t="str">
        <f>IFERROR(__xludf.DUMMYFUNCTION("IF(Account!$F566&lt;&gt;"""", VALUE(REGEXREPLACE($I566, ""\,"", ""."")), """")"),"")</f>
        <v/>
      </c>
      <c r="N566" s="47" t="str">
        <f>IF(Account!$F566&lt;&gt;"", DATEVALUE(MID($A566,4,3) &amp; LEFT($A566,3) &amp; RIGHT($A566,4)) + TIMEVALUE($B566), "")</f>
        <v/>
      </c>
      <c r="O566" s="48" t="str">
        <f>IF(Account!$F566&lt;&gt;"", DATEVALUE(MID($A566,4,3) &amp; LEFT($A566,3) &amp; RIGHT($A566,4)), "")</f>
        <v/>
      </c>
      <c r="P566" s="49" t="str">
        <f>IFERROR(VLOOKUP($Q566,Selection!$F:$G,2,false))</f>
        <v/>
      </c>
      <c r="Q566" s="50" t="str">
        <f>IF(AND($X566="change",$H566="EUR"),IF(AND($Z566="Crédit",$N566=$N567),$Q567,IF(AND($Z566="Débit",$N566=$N565),$Q565)),IF(OR(AND(OR($E566&lt;&gt;"",$L566=""),$M566&lt;&gt;0),$A566=""),IFERROR(VLOOKUP($E566,Selection!$E:$F,2,false)),IFERROR(VLOOKUP(SUBSTITUTE($I566,"-","",1),$K567:$Q1119,7,false),VLOOKUP($K566,$K567:$Q1119,7,false))))</f>
        <v/>
      </c>
      <c r="R566" s="49" t="str">
        <f t="shared" si="2"/>
        <v/>
      </c>
      <c r="S566" s="51" t="str">
        <f t="shared" si="3"/>
        <v/>
      </c>
      <c r="T566" s="52" t="str">
        <f t="shared" si="4"/>
        <v/>
      </c>
      <c r="U566" s="46" t="str">
        <f t="shared" si="5"/>
        <v/>
      </c>
      <c r="V566" s="53" t="str">
        <f>IFERROR(__xludf.DUMMYFUNCTION(" IF(Account!$F566&lt;&gt;"""", SPLIT(Account!$F566, "" ""), """")"),"")</f>
        <v/>
      </c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</row>
    <row r="567">
      <c r="A567" s="11"/>
      <c r="B567" s="11"/>
      <c r="C567" s="11"/>
      <c r="D567" s="11"/>
      <c r="E567" s="11"/>
      <c r="F567" s="12"/>
      <c r="G567" s="215"/>
      <c r="H567" s="11"/>
      <c r="I567" s="11"/>
      <c r="J567" s="11"/>
      <c r="K567" s="11"/>
      <c r="L567" s="45" t="str">
        <f t="shared" si="1"/>
        <v/>
      </c>
      <c r="M567" s="46" t="str">
        <f>IFERROR(__xludf.DUMMYFUNCTION("IF(Account!$F567&lt;&gt;"""", VALUE(REGEXREPLACE($I567, ""\,"", ""."")), """")"),"")</f>
        <v/>
      </c>
      <c r="N567" s="47" t="str">
        <f>IF(Account!$F567&lt;&gt;"", DATEVALUE(MID($A567,4,3) &amp; LEFT($A567,3) &amp; RIGHT($A567,4)) + TIMEVALUE($B567), "")</f>
        <v/>
      </c>
      <c r="O567" s="48" t="str">
        <f>IF(Account!$F567&lt;&gt;"", DATEVALUE(MID($A567,4,3) &amp; LEFT($A567,3) &amp; RIGHT($A567,4)), "")</f>
        <v/>
      </c>
      <c r="P567" s="49" t="str">
        <f>IFERROR(VLOOKUP($Q567,Selection!$F:$G,2,false))</f>
        <v/>
      </c>
      <c r="Q567" s="50" t="str">
        <f>IF(AND($X567="change",$H567="EUR"),IF(AND($Z567="Crédit",$N567=$N568),$Q568,IF(AND($Z567="Débit",$N567=$N566),$Q566)),IF(OR(AND(OR($E567&lt;&gt;"",$L567=""),$M567&lt;&gt;0),$A567=""),IFERROR(VLOOKUP($E567,Selection!$E:$F,2,false)),IFERROR(VLOOKUP(SUBSTITUTE($I567,"-","",1),$K568:$Q1119,7,false),VLOOKUP($K567,$K568:$Q1119,7,false))))</f>
        <v/>
      </c>
      <c r="R567" s="49" t="str">
        <f t="shared" si="2"/>
        <v/>
      </c>
      <c r="S567" s="51" t="str">
        <f t="shared" si="3"/>
        <v/>
      </c>
      <c r="T567" s="52" t="str">
        <f t="shared" si="4"/>
        <v/>
      </c>
      <c r="U567" s="46" t="str">
        <f t="shared" si="5"/>
        <v/>
      </c>
      <c r="V567" s="53" t="str">
        <f>IFERROR(__xludf.DUMMYFUNCTION(" IF(Account!$F567&lt;&gt;"""", SPLIT(Account!$F567, "" ""), """")"),"")</f>
        <v/>
      </c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</row>
    <row r="568">
      <c r="A568" s="11"/>
      <c r="B568" s="11"/>
      <c r="C568" s="11"/>
      <c r="D568" s="11"/>
      <c r="E568" s="11"/>
      <c r="F568" s="12"/>
      <c r="G568" s="11"/>
      <c r="H568" s="11"/>
      <c r="I568" s="11"/>
      <c r="J568" s="11"/>
      <c r="K568" s="11"/>
      <c r="L568" s="45" t="str">
        <f t="shared" si="1"/>
        <v/>
      </c>
      <c r="M568" s="46" t="str">
        <f>IFERROR(__xludf.DUMMYFUNCTION("IF(Account!$F568&lt;&gt;"""", VALUE(REGEXREPLACE($I568, ""\,"", ""."")), """")"),"")</f>
        <v/>
      </c>
      <c r="N568" s="47" t="str">
        <f>IF(Account!$F568&lt;&gt;"", DATEVALUE(MID($A568,4,3) &amp; LEFT($A568,3) &amp; RIGHT($A568,4)) + TIMEVALUE($B568), "")</f>
        <v/>
      </c>
      <c r="O568" s="48" t="str">
        <f>IF(Account!$F568&lt;&gt;"", DATEVALUE(MID($A568,4,3) &amp; LEFT($A568,3) &amp; RIGHT($A568,4)), "")</f>
        <v/>
      </c>
      <c r="P568" s="49" t="str">
        <f>IFERROR(VLOOKUP($Q568,Selection!$F:$G,2,false))</f>
        <v/>
      </c>
      <c r="Q568" s="50" t="str">
        <f>IF(AND($X568="change",$H568="EUR"),IF(AND($Z568="Crédit",$N568=$N569),$Q569,IF(AND($Z568="Débit",$N568=$N567),$Q567)),IF(OR(AND(OR($E568&lt;&gt;"",$L568=""),$M568&lt;&gt;0),$A568=""),IFERROR(VLOOKUP($E568,Selection!$E:$F,2,false)),IFERROR(VLOOKUP(SUBSTITUTE($I568,"-","",1),$K569:$Q1119,7,false),VLOOKUP($K568,$K569:$Q1119,7,false))))</f>
        <v/>
      </c>
      <c r="R568" s="49" t="str">
        <f t="shared" si="2"/>
        <v/>
      </c>
      <c r="S568" s="51" t="str">
        <f t="shared" si="3"/>
        <v/>
      </c>
      <c r="T568" s="52" t="str">
        <f t="shared" si="4"/>
        <v/>
      </c>
      <c r="U568" s="46" t="str">
        <f t="shared" si="5"/>
        <v/>
      </c>
      <c r="V568" s="53" t="str">
        <f>IFERROR(__xludf.DUMMYFUNCTION(" IF(Account!$F568&lt;&gt;"""", SPLIT(Account!$F568, "" ""), """")"),"")</f>
        <v/>
      </c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</row>
    <row r="569">
      <c r="A569" s="11"/>
      <c r="B569" s="11"/>
      <c r="C569" s="11"/>
      <c r="D569" s="11"/>
      <c r="E569" s="11"/>
      <c r="F569" s="12"/>
      <c r="G569" s="215"/>
      <c r="H569" s="11"/>
      <c r="I569" s="11"/>
      <c r="J569" s="11"/>
      <c r="K569" s="11"/>
      <c r="L569" s="45" t="str">
        <f t="shared" si="1"/>
        <v/>
      </c>
      <c r="M569" s="46" t="str">
        <f>IFERROR(__xludf.DUMMYFUNCTION("IF(Account!$F569&lt;&gt;"""", VALUE(REGEXREPLACE($I569, ""\,"", ""."")), """")"),"")</f>
        <v/>
      </c>
      <c r="N569" s="47" t="str">
        <f>IF(Account!$F569&lt;&gt;"", DATEVALUE(MID($A569,4,3) &amp; LEFT($A569,3) &amp; RIGHT($A569,4)) + TIMEVALUE($B569), "")</f>
        <v/>
      </c>
      <c r="O569" s="48" t="str">
        <f>IF(Account!$F569&lt;&gt;"", DATEVALUE(MID($A569,4,3) &amp; LEFT($A569,3) &amp; RIGHT($A569,4)), "")</f>
        <v/>
      </c>
      <c r="P569" s="49" t="str">
        <f>IFERROR(VLOOKUP($Q569,Selection!$F:$G,2,false))</f>
        <v/>
      </c>
      <c r="Q569" s="50" t="str">
        <f>IF(AND($X569="change",$H569="EUR"),IF(AND($Z569="Crédit",$N569=$N570),$Q570,IF(AND($Z569="Débit",$N569=$N568),$Q568)),IF(OR(AND(OR($E569&lt;&gt;"",$L569=""),$M569&lt;&gt;0),$A569=""),IFERROR(VLOOKUP($E569,Selection!$E:$F,2,false)),IFERROR(VLOOKUP(SUBSTITUTE($I569,"-","",1),$K570:$Q1119,7,false),VLOOKUP($K569,$K570:$Q1119,7,false))))</f>
        <v/>
      </c>
      <c r="R569" s="49" t="str">
        <f t="shared" si="2"/>
        <v/>
      </c>
      <c r="S569" s="51" t="str">
        <f t="shared" si="3"/>
        <v/>
      </c>
      <c r="T569" s="52" t="str">
        <f t="shared" si="4"/>
        <v/>
      </c>
      <c r="U569" s="46" t="str">
        <f t="shared" si="5"/>
        <v/>
      </c>
      <c r="V569" s="53" t="str">
        <f>IFERROR(__xludf.DUMMYFUNCTION(" IF(Account!$F569&lt;&gt;"""", SPLIT(Account!$F569, "" ""), """")"),"")</f>
        <v/>
      </c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</row>
    <row r="570">
      <c r="A570" s="11"/>
      <c r="B570" s="11"/>
      <c r="C570" s="11"/>
      <c r="D570" s="11"/>
      <c r="E570" s="11"/>
      <c r="F570" s="12"/>
      <c r="G570" s="215"/>
      <c r="H570" s="11"/>
      <c r="I570" s="11"/>
      <c r="J570" s="11"/>
      <c r="K570" s="11"/>
      <c r="L570" s="45" t="str">
        <f t="shared" si="1"/>
        <v/>
      </c>
      <c r="M570" s="46" t="str">
        <f>IFERROR(__xludf.DUMMYFUNCTION("IF(Account!$F570&lt;&gt;"""", VALUE(REGEXREPLACE($I570, ""\,"", ""."")), """")"),"")</f>
        <v/>
      </c>
      <c r="N570" s="47" t="str">
        <f>IF(Account!$F570&lt;&gt;"", DATEVALUE(MID($A570,4,3) &amp; LEFT($A570,3) &amp; RIGHT($A570,4)) + TIMEVALUE($B570), "")</f>
        <v/>
      </c>
      <c r="O570" s="48" t="str">
        <f>IF(Account!$F570&lt;&gt;"", DATEVALUE(MID($A570,4,3) &amp; LEFT($A570,3) &amp; RIGHT($A570,4)), "")</f>
        <v/>
      </c>
      <c r="P570" s="49" t="str">
        <f>IFERROR(VLOOKUP($Q570,Selection!$F:$G,2,false))</f>
        <v/>
      </c>
      <c r="Q570" s="50" t="str">
        <f>IF(AND($X570="change",$H570="EUR"),IF(AND($Z570="Crédit",$N570=$N571),$Q571,IF(AND($Z570="Débit",$N570=$N569),$Q569)),IF(OR(AND(OR($E570&lt;&gt;"",$L570=""),$M570&lt;&gt;0),$A570=""),IFERROR(VLOOKUP($E570,Selection!$E:$F,2,false)),IFERROR(VLOOKUP(SUBSTITUTE($I570,"-","",1),$K571:$Q1119,7,false),VLOOKUP($K570,$K571:$Q1119,7,false))))</f>
        <v/>
      </c>
      <c r="R570" s="49" t="str">
        <f t="shared" si="2"/>
        <v/>
      </c>
      <c r="S570" s="51" t="str">
        <f t="shared" si="3"/>
        <v/>
      </c>
      <c r="T570" s="52" t="str">
        <f t="shared" si="4"/>
        <v/>
      </c>
      <c r="U570" s="46" t="str">
        <f t="shared" si="5"/>
        <v/>
      </c>
      <c r="V570" s="53" t="str">
        <f>IFERROR(__xludf.DUMMYFUNCTION(" IF(Account!$F570&lt;&gt;"""", SPLIT(Account!$F570, "" ""), """")"),"")</f>
        <v/>
      </c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</row>
    <row r="571">
      <c r="A571" s="11"/>
      <c r="B571" s="11"/>
      <c r="C571" s="11"/>
      <c r="D571" s="11"/>
      <c r="E571" s="11"/>
      <c r="F571" s="12"/>
      <c r="G571" s="11"/>
      <c r="H571" s="11"/>
      <c r="I571" s="11"/>
      <c r="J571" s="11"/>
      <c r="K571" s="11"/>
      <c r="L571" s="45" t="str">
        <f t="shared" si="1"/>
        <v/>
      </c>
      <c r="M571" s="46" t="str">
        <f>IFERROR(__xludf.DUMMYFUNCTION("IF(Account!$F571&lt;&gt;"""", VALUE(REGEXREPLACE($I571, ""\,"", ""."")), """")"),"")</f>
        <v/>
      </c>
      <c r="N571" s="47" t="str">
        <f>IF(Account!$F571&lt;&gt;"", DATEVALUE(MID($A571,4,3) &amp; LEFT($A571,3) &amp; RIGHT($A571,4)) + TIMEVALUE($B571), "")</f>
        <v/>
      </c>
      <c r="O571" s="48" t="str">
        <f>IF(Account!$F571&lt;&gt;"", DATEVALUE(MID($A571,4,3) &amp; LEFT($A571,3) &amp; RIGHT($A571,4)), "")</f>
        <v/>
      </c>
      <c r="P571" s="49" t="str">
        <f>IFERROR(VLOOKUP($Q571,Selection!$F:$G,2,false))</f>
        <v/>
      </c>
      <c r="Q571" s="50" t="str">
        <f>IF(AND($X571="change",$H571="EUR"),IF(AND($Z571="Crédit",$N571=$N572),$Q572,IF(AND($Z571="Débit",$N571=$N570),$Q570)),IF(OR(AND(OR($E571&lt;&gt;"",$L571=""),$M571&lt;&gt;0),$A571=""),IFERROR(VLOOKUP($E571,Selection!$E:$F,2,false)),IFERROR(VLOOKUP(SUBSTITUTE($I571,"-","",1),$K572:$Q1119,7,false),VLOOKUP($K571,$K572:$Q1119,7,false))))</f>
        <v/>
      </c>
      <c r="R571" s="49" t="str">
        <f t="shared" si="2"/>
        <v/>
      </c>
      <c r="S571" s="51" t="str">
        <f t="shared" si="3"/>
        <v/>
      </c>
      <c r="T571" s="52" t="str">
        <f t="shared" si="4"/>
        <v/>
      </c>
      <c r="U571" s="46" t="str">
        <f t="shared" si="5"/>
        <v/>
      </c>
      <c r="V571" s="53" t="str">
        <f>IFERROR(__xludf.DUMMYFUNCTION(" IF(Account!$F571&lt;&gt;"""", SPLIT(Account!$F571, "" ""), """")"),"")</f>
        <v/>
      </c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</row>
    <row r="572">
      <c r="A572" s="11"/>
      <c r="B572" s="11"/>
      <c r="C572" s="11"/>
      <c r="D572" s="11"/>
      <c r="E572" s="11"/>
      <c r="F572" s="12"/>
      <c r="G572" s="215"/>
      <c r="H572" s="11"/>
      <c r="I572" s="11"/>
      <c r="J572" s="11"/>
      <c r="K572" s="11"/>
      <c r="L572" s="45" t="str">
        <f t="shared" si="1"/>
        <v/>
      </c>
      <c r="M572" s="46" t="str">
        <f>IFERROR(__xludf.DUMMYFUNCTION("IF(Account!$F572&lt;&gt;"""", VALUE(REGEXREPLACE($I572, ""\,"", ""."")), """")"),"")</f>
        <v/>
      </c>
      <c r="N572" s="47" t="str">
        <f>IF(Account!$F572&lt;&gt;"", DATEVALUE(MID($A572,4,3) &amp; LEFT($A572,3) &amp; RIGHT($A572,4)) + TIMEVALUE($B572), "")</f>
        <v/>
      </c>
      <c r="O572" s="48" t="str">
        <f>IF(Account!$F572&lt;&gt;"", DATEVALUE(MID($A572,4,3) &amp; LEFT($A572,3) &amp; RIGHT($A572,4)), "")</f>
        <v/>
      </c>
      <c r="P572" s="49" t="str">
        <f>IFERROR(VLOOKUP($Q572,Selection!$F:$G,2,false))</f>
        <v/>
      </c>
      <c r="Q572" s="50" t="str">
        <f>IF(AND($X572="change",$H572="EUR"),IF(AND($Z572="Crédit",$N572=$N573),$Q573,IF(AND($Z572="Débit",$N572=$N571),$Q571)),IF(OR(AND(OR($E572&lt;&gt;"",$L572=""),$M572&lt;&gt;0),$A572=""),IFERROR(VLOOKUP($E572,Selection!$E:$F,2,false)),IFERROR(VLOOKUP(SUBSTITUTE($I572,"-","",1),$K573:$Q1119,7,false),VLOOKUP($K572,$K573:$Q1119,7,false))))</f>
        <v/>
      </c>
      <c r="R572" s="49" t="str">
        <f t="shared" si="2"/>
        <v/>
      </c>
      <c r="S572" s="51" t="str">
        <f t="shared" si="3"/>
        <v/>
      </c>
      <c r="T572" s="52" t="str">
        <f t="shared" si="4"/>
        <v/>
      </c>
      <c r="U572" s="46" t="str">
        <f t="shared" si="5"/>
        <v/>
      </c>
      <c r="V572" s="53" t="str">
        <f>IFERROR(__xludf.DUMMYFUNCTION(" IF(Account!$F572&lt;&gt;"""", SPLIT(Account!$F572, "" ""), """")"),"")</f>
        <v/>
      </c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</row>
    <row r="573">
      <c r="A573" s="11"/>
      <c r="B573" s="11"/>
      <c r="C573" s="11"/>
      <c r="D573" s="11"/>
      <c r="E573" s="11"/>
      <c r="F573" s="12"/>
      <c r="G573" s="215"/>
      <c r="H573" s="11"/>
      <c r="I573" s="11"/>
      <c r="J573" s="11"/>
      <c r="K573" s="11"/>
      <c r="L573" s="45" t="str">
        <f t="shared" si="1"/>
        <v/>
      </c>
      <c r="M573" s="46" t="str">
        <f>IFERROR(__xludf.DUMMYFUNCTION("IF(Account!$F573&lt;&gt;"""", VALUE(REGEXREPLACE($I573, ""\,"", ""."")), """")"),"")</f>
        <v/>
      </c>
      <c r="N573" s="47" t="str">
        <f>IF(Account!$F573&lt;&gt;"", DATEVALUE(MID($A573,4,3) &amp; LEFT($A573,3) &amp; RIGHT($A573,4)) + TIMEVALUE($B573), "")</f>
        <v/>
      </c>
      <c r="O573" s="48" t="str">
        <f>IF(Account!$F573&lt;&gt;"", DATEVALUE(MID($A573,4,3) &amp; LEFT($A573,3) &amp; RIGHT($A573,4)), "")</f>
        <v/>
      </c>
      <c r="P573" s="49" t="str">
        <f>IFERROR(VLOOKUP($Q573,Selection!$F:$G,2,false))</f>
        <v/>
      </c>
      <c r="Q573" s="50" t="str">
        <f>IF(AND($X573="change",$H573="EUR"),IF(AND($Z573="Crédit",$N573=$N574),$Q574,IF(AND($Z573="Débit",$N573=$N572),$Q572)),IF(OR(AND(OR($E573&lt;&gt;"",$L573=""),$M573&lt;&gt;0),$A573=""),IFERROR(VLOOKUP($E573,Selection!$E:$F,2,false)),IFERROR(VLOOKUP(SUBSTITUTE($I573,"-","",1),$K574:$Q1119,7,false),VLOOKUP($K573,$K574:$Q1119,7,false))))</f>
        <v/>
      </c>
      <c r="R573" s="49" t="str">
        <f t="shared" si="2"/>
        <v/>
      </c>
      <c r="S573" s="51" t="str">
        <f t="shared" si="3"/>
        <v/>
      </c>
      <c r="T573" s="52" t="str">
        <f t="shared" si="4"/>
        <v/>
      </c>
      <c r="U573" s="46" t="str">
        <f t="shared" si="5"/>
        <v/>
      </c>
      <c r="V573" s="53" t="str">
        <f>IFERROR(__xludf.DUMMYFUNCTION(" IF(Account!$F573&lt;&gt;"""", SPLIT(Account!$F573, "" ""), """")"),"")</f>
        <v/>
      </c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</row>
    <row r="574">
      <c r="A574" s="11"/>
      <c r="B574" s="11"/>
      <c r="C574" s="11"/>
      <c r="D574" s="215"/>
      <c r="E574" s="215"/>
      <c r="F574" s="12"/>
      <c r="G574" s="215"/>
      <c r="H574" s="11"/>
      <c r="I574" s="11"/>
      <c r="J574" s="11"/>
      <c r="K574" s="11"/>
      <c r="L574" s="45" t="str">
        <f t="shared" si="1"/>
        <v/>
      </c>
      <c r="M574" s="46" t="str">
        <f>IFERROR(__xludf.DUMMYFUNCTION("IF(Account!$F574&lt;&gt;"""", VALUE(REGEXREPLACE($I574, ""\,"", ""."")), """")"),"")</f>
        <v/>
      </c>
      <c r="N574" s="47" t="str">
        <f>IF(Account!$F574&lt;&gt;"", DATEVALUE(MID($A574,4,3) &amp; LEFT($A574,3) &amp; RIGHT($A574,4)) + TIMEVALUE($B574), "")</f>
        <v/>
      </c>
      <c r="O574" s="48" t="str">
        <f>IF(Account!$F574&lt;&gt;"", DATEVALUE(MID($A574,4,3) &amp; LEFT($A574,3) &amp; RIGHT($A574,4)), "")</f>
        <v/>
      </c>
      <c r="P574" s="49" t="str">
        <f>IFERROR(VLOOKUP($Q574,Selection!$F:$G,2,false))</f>
        <v/>
      </c>
      <c r="Q574" s="50" t="str">
        <f>IF(AND($X574="change",$H574="EUR"),IF(AND($Z574="Crédit",$N574=$N575),$Q575,IF(AND($Z574="Débit",$N574=$N573),$Q573)),IF(OR(AND(OR($E574&lt;&gt;"",$L574=""),$M574&lt;&gt;0),$A574=""),IFERROR(VLOOKUP($E574,Selection!$E:$F,2,false)),IFERROR(VLOOKUP(SUBSTITUTE($I574,"-","",1),$K575:$Q1119,7,false),VLOOKUP($K574,$K575:$Q1119,7,false))))</f>
        <v/>
      </c>
      <c r="R574" s="49" t="str">
        <f t="shared" si="2"/>
        <v/>
      </c>
      <c r="S574" s="51" t="str">
        <f t="shared" si="3"/>
        <v/>
      </c>
      <c r="T574" s="52" t="str">
        <f t="shared" si="4"/>
        <v/>
      </c>
      <c r="U574" s="46" t="str">
        <f t="shared" si="5"/>
        <v/>
      </c>
      <c r="V574" s="53" t="str">
        <f>IFERROR(__xludf.DUMMYFUNCTION(" IF(Account!$F574&lt;&gt;"""", SPLIT(Account!$F574, "" ""), """")"),"")</f>
        <v/>
      </c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</row>
    <row r="575">
      <c r="A575" s="11"/>
      <c r="B575" s="11"/>
      <c r="C575" s="11"/>
      <c r="D575" s="215"/>
      <c r="E575" s="215"/>
      <c r="F575" s="12"/>
      <c r="G575" s="215"/>
      <c r="H575" s="11"/>
      <c r="I575" s="11"/>
      <c r="J575" s="11"/>
      <c r="K575" s="11"/>
      <c r="L575" s="45" t="str">
        <f t="shared" si="1"/>
        <v/>
      </c>
      <c r="M575" s="46" t="str">
        <f>IFERROR(__xludf.DUMMYFUNCTION("IF(Account!$F575&lt;&gt;"""", VALUE(REGEXREPLACE($I575, ""\,"", ""."")), """")"),"")</f>
        <v/>
      </c>
      <c r="N575" s="47" t="str">
        <f>IF(Account!$F575&lt;&gt;"", DATEVALUE(MID($A575,4,3) &amp; LEFT($A575,3) &amp; RIGHT($A575,4)) + TIMEVALUE($B575), "")</f>
        <v/>
      </c>
      <c r="O575" s="48" t="str">
        <f>IF(Account!$F575&lt;&gt;"", DATEVALUE(MID($A575,4,3) &amp; LEFT($A575,3) &amp; RIGHT($A575,4)), "")</f>
        <v/>
      </c>
      <c r="P575" s="49" t="str">
        <f>IFERROR(VLOOKUP($Q575,Selection!$F:$G,2,false))</f>
        <v/>
      </c>
      <c r="Q575" s="50" t="str">
        <f>IF(AND($X575="change",$H575="EUR"),IF(AND($Z575="Crédit",$N575=$N576),$Q576,IF(AND($Z575="Débit",$N575=$N574),$Q574)),IF(OR(AND(OR($E575&lt;&gt;"",$L575=""),$M575&lt;&gt;0),$A575=""),IFERROR(VLOOKUP($E575,Selection!$E:$F,2,false)),IFERROR(VLOOKUP(SUBSTITUTE($I575,"-","",1),$K576:$Q1119,7,false),VLOOKUP($K575,$K576:$Q1119,7,false))))</f>
        <v/>
      </c>
      <c r="R575" s="49" t="str">
        <f t="shared" si="2"/>
        <v/>
      </c>
      <c r="S575" s="51" t="str">
        <f t="shared" si="3"/>
        <v/>
      </c>
      <c r="T575" s="52" t="str">
        <f t="shared" si="4"/>
        <v/>
      </c>
      <c r="U575" s="46" t="str">
        <f t="shared" si="5"/>
        <v/>
      </c>
      <c r="V575" s="53" t="str">
        <f>IFERROR(__xludf.DUMMYFUNCTION(" IF(Account!$F575&lt;&gt;"""", SPLIT(Account!$F575, "" ""), """")"),"")</f>
        <v/>
      </c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</row>
    <row r="576">
      <c r="A576" s="215"/>
      <c r="B576" s="215"/>
      <c r="C576" s="215"/>
      <c r="D576" s="215"/>
      <c r="E576" s="215"/>
      <c r="F576" s="373"/>
      <c r="G576" s="215"/>
      <c r="H576" s="215"/>
      <c r="I576" s="215"/>
      <c r="J576" s="215"/>
      <c r="K576" s="215"/>
      <c r="L576" s="45" t="str">
        <f t="shared" si="1"/>
        <v/>
      </c>
      <c r="M576" s="46" t="str">
        <f>IFERROR(__xludf.DUMMYFUNCTION("IF(Account!$F576&lt;&gt;"""", VALUE(REGEXREPLACE($I576, ""\,"", ""."")), """")"),"")</f>
        <v/>
      </c>
      <c r="N576" s="47" t="str">
        <f>IF(Account!$F576&lt;&gt;"", DATEVALUE(MID($A576,4,3) &amp; LEFT($A576,3) &amp; RIGHT($A576,4)) + TIMEVALUE($B576), "")</f>
        <v/>
      </c>
      <c r="O576" s="48" t="str">
        <f>IF(Account!$F576&lt;&gt;"", DATEVALUE(MID($A576,4,3) &amp; LEFT($A576,3) &amp; RIGHT($A576,4)), "")</f>
        <v/>
      </c>
      <c r="P576" s="49" t="str">
        <f>IFERROR(VLOOKUP($Q576,Selection!$F:$G,2,false))</f>
        <v/>
      </c>
      <c r="Q576" s="50" t="str">
        <f>IF(AND($X576="change",$H576="EUR"),IF(AND($Z576="Crédit",$N576=$N577),$Q577,IF(AND($Z576="Débit",$N576=$N575),$Q575)),IF(OR(AND(OR($E576&lt;&gt;"",$L576=""),$M576&lt;&gt;0),$A576=""),IFERROR(VLOOKUP($E576,Selection!$E:$F,2,false)),IFERROR(VLOOKUP(SUBSTITUTE($I576,"-","",1),$K577:$Q1119,7,false),VLOOKUP($K576,$K577:$Q1119,7,false))))</f>
        <v/>
      </c>
      <c r="R576" s="49" t="str">
        <f t="shared" si="2"/>
        <v/>
      </c>
      <c r="S576" s="51" t="str">
        <f t="shared" si="3"/>
        <v/>
      </c>
      <c r="T576" s="52" t="str">
        <f t="shared" si="4"/>
        <v/>
      </c>
      <c r="U576" s="46" t="str">
        <f t="shared" si="5"/>
        <v/>
      </c>
      <c r="V576" s="53" t="str">
        <f>IFERROR(__xludf.DUMMYFUNCTION(" IF(Account!$F576&lt;&gt;"""", SPLIT(Account!$F576, "" ""), """")"),"")</f>
        <v/>
      </c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</row>
    <row r="577">
      <c r="A577" s="215"/>
      <c r="B577" s="215"/>
      <c r="C577" s="215"/>
      <c r="D577" s="215"/>
      <c r="E577" s="215"/>
      <c r="F577" s="373"/>
      <c r="G577" s="215"/>
      <c r="H577" s="215"/>
      <c r="I577" s="215"/>
      <c r="J577" s="215"/>
      <c r="K577" s="215"/>
      <c r="L577" s="45" t="str">
        <f t="shared" si="1"/>
        <v/>
      </c>
      <c r="M577" s="46" t="str">
        <f>IFERROR(__xludf.DUMMYFUNCTION("IF(Account!$F577&lt;&gt;"""", VALUE(REGEXREPLACE($I577, ""\,"", ""."")), """")"),"")</f>
        <v/>
      </c>
      <c r="N577" s="47" t="str">
        <f>IF(Account!$F577&lt;&gt;"", DATEVALUE(MID($A577,4,3) &amp; LEFT($A577,3) &amp; RIGHT($A577,4)) + TIMEVALUE($B577), "")</f>
        <v/>
      </c>
      <c r="O577" s="48" t="str">
        <f>IF(Account!$F577&lt;&gt;"", DATEVALUE(MID($A577,4,3) &amp; LEFT($A577,3) &amp; RIGHT($A577,4)), "")</f>
        <v/>
      </c>
      <c r="P577" s="49" t="str">
        <f>IFERROR(VLOOKUP($Q577,Selection!$F:$G,2,false))</f>
        <v/>
      </c>
      <c r="Q577" s="50" t="str">
        <f>IF(AND($X577="change",$H577="EUR"),IF(AND($Z577="Crédit",$N577=$N578),$Q578,IF(AND($Z577="Débit",$N577=$N576),$Q576)),IF(OR(AND(OR($E577&lt;&gt;"",$L577=""),$M577&lt;&gt;0),$A577=""),IFERROR(VLOOKUP($E577,Selection!$E:$F,2,false)),IFERROR(VLOOKUP(SUBSTITUTE($I577,"-","",1),$K578:$Q1119,7,false),VLOOKUP($K577,$K578:$Q1119,7,false))))</f>
        <v/>
      </c>
      <c r="R577" s="49" t="str">
        <f t="shared" si="2"/>
        <v/>
      </c>
      <c r="S577" s="51" t="str">
        <f t="shared" si="3"/>
        <v/>
      </c>
      <c r="T577" s="52" t="str">
        <f t="shared" si="4"/>
        <v/>
      </c>
      <c r="U577" s="46" t="str">
        <f t="shared" si="5"/>
        <v/>
      </c>
      <c r="V577" s="53" t="str">
        <f>IFERROR(__xludf.DUMMYFUNCTION(" IF(Account!$F577&lt;&gt;"""", SPLIT(Account!$F577, "" ""), """")"),"")</f>
        <v/>
      </c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</row>
    <row r="578">
      <c r="A578" s="215"/>
      <c r="B578" s="215"/>
      <c r="C578" s="215"/>
      <c r="D578" s="215"/>
      <c r="E578" s="215"/>
      <c r="F578" s="373"/>
      <c r="G578" s="215"/>
      <c r="H578" s="215"/>
      <c r="I578" s="215"/>
      <c r="J578" s="215"/>
      <c r="K578" s="215"/>
      <c r="L578" s="45" t="str">
        <f t="shared" si="1"/>
        <v/>
      </c>
      <c r="M578" s="46" t="str">
        <f>IFERROR(__xludf.DUMMYFUNCTION("IF(Account!$F578&lt;&gt;"""", VALUE(REGEXREPLACE($I578, ""\,"", ""."")), """")"),"")</f>
        <v/>
      </c>
      <c r="N578" s="47" t="str">
        <f>IF(Account!$F578&lt;&gt;"", DATEVALUE(MID($A578,4,3) &amp; LEFT($A578,3) &amp; RIGHT($A578,4)) + TIMEVALUE($B578), "")</f>
        <v/>
      </c>
      <c r="O578" s="48" t="str">
        <f>IF(Account!$F578&lt;&gt;"", DATEVALUE(MID($A578,4,3) &amp; LEFT($A578,3) &amp; RIGHT($A578,4)), "")</f>
        <v/>
      </c>
      <c r="P578" s="49" t="str">
        <f>IFERROR(VLOOKUP($Q578,Selection!$F:$G,2,false))</f>
        <v/>
      </c>
      <c r="Q578" s="50" t="str">
        <f>IF(AND($X578="change",$H578="EUR"),IF(AND($Z578="Crédit",$N578=$N579),$Q579,IF(AND($Z578="Débit",$N578=$N577),$Q577)),IF(OR(AND(OR($E578&lt;&gt;"",$L578=""),$M578&lt;&gt;0),$A578=""),IFERROR(VLOOKUP($E578,Selection!$E:$F,2,false)),IFERROR(VLOOKUP(SUBSTITUTE($I578,"-","",1),$K579:$Q1119,7,false),VLOOKUP($K578,$K579:$Q1119,7,false))))</f>
        <v/>
      </c>
      <c r="R578" s="49" t="str">
        <f t="shared" si="2"/>
        <v/>
      </c>
      <c r="S578" s="51" t="str">
        <f t="shared" si="3"/>
        <v/>
      </c>
      <c r="T578" s="52" t="str">
        <f t="shared" si="4"/>
        <v/>
      </c>
      <c r="U578" s="46" t="str">
        <f t="shared" si="5"/>
        <v/>
      </c>
      <c r="V578" s="53" t="str">
        <f>IFERROR(__xludf.DUMMYFUNCTION(" IF(Account!$F578&lt;&gt;"""", SPLIT(Account!$F578, "" ""), """")"),"")</f>
        <v/>
      </c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</row>
    <row r="579">
      <c r="A579" s="215"/>
      <c r="B579" s="215"/>
      <c r="C579" s="215"/>
      <c r="D579" s="215"/>
      <c r="E579" s="215"/>
      <c r="F579" s="373"/>
      <c r="G579" s="215"/>
      <c r="H579" s="215"/>
      <c r="I579" s="215"/>
      <c r="J579" s="215"/>
      <c r="K579" s="215"/>
      <c r="L579" s="45" t="str">
        <f t="shared" si="1"/>
        <v/>
      </c>
      <c r="M579" s="46" t="str">
        <f>IFERROR(__xludf.DUMMYFUNCTION("IF(Account!$F579&lt;&gt;"""", VALUE(REGEXREPLACE($I579, ""\,"", ""."")), """")"),"")</f>
        <v/>
      </c>
      <c r="N579" s="47" t="str">
        <f>IF(Account!$F579&lt;&gt;"", DATEVALUE(MID($A579,4,3) &amp; LEFT($A579,3) &amp; RIGHT($A579,4)) + TIMEVALUE($B579), "")</f>
        <v/>
      </c>
      <c r="O579" s="48" t="str">
        <f>IF(Account!$F579&lt;&gt;"", DATEVALUE(MID($A579,4,3) &amp; LEFT($A579,3) &amp; RIGHT($A579,4)), "")</f>
        <v/>
      </c>
      <c r="P579" s="49" t="str">
        <f>IFERROR(VLOOKUP($Q579,Selection!$F:$G,2,false))</f>
        <v/>
      </c>
      <c r="Q579" s="50" t="str">
        <f>IF(AND($X579="change",$H579="EUR"),IF(AND($Z579="Crédit",$N579=$N580),$Q580,IF(AND($Z579="Débit",$N579=$N578),$Q578)),IF(OR(AND(OR($E579&lt;&gt;"",$L579=""),$M579&lt;&gt;0),$A579=""),IFERROR(VLOOKUP($E579,Selection!$E:$F,2,false)),IFERROR(VLOOKUP(SUBSTITUTE($I579,"-","",1),$K580:$Q1119,7,false),VLOOKUP($K579,$K580:$Q1119,7,false))))</f>
        <v/>
      </c>
      <c r="R579" s="49" t="str">
        <f t="shared" si="2"/>
        <v/>
      </c>
      <c r="S579" s="51" t="str">
        <f t="shared" si="3"/>
        <v/>
      </c>
      <c r="T579" s="52" t="str">
        <f t="shared" si="4"/>
        <v/>
      </c>
      <c r="U579" s="46" t="str">
        <f t="shared" si="5"/>
        <v/>
      </c>
      <c r="V579" s="53" t="str">
        <f>IFERROR(__xludf.DUMMYFUNCTION(" IF(Account!$F579&lt;&gt;"""", SPLIT(Account!$F579, "" ""), """")"),"")</f>
        <v/>
      </c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</row>
    <row r="580">
      <c r="A580" s="215"/>
      <c r="B580" s="215"/>
      <c r="C580" s="215"/>
      <c r="D580" s="215"/>
      <c r="E580" s="215"/>
      <c r="F580" s="373"/>
      <c r="G580" s="215"/>
      <c r="H580" s="215"/>
      <c r="I580" s="215"/>
      <c r="J580" s="215"/>
      <c r="K580" s="215"/>
      <c r="L580" s="45" t="str">
        <f t="shared" si="1"/>
        <v/>
      </c>
      <c r="M580" s="46" t="str">
        <f>IFERROR(__xludf.DUMMYFUNCTION("IF(Account!$F580&lt;&gt;"""", VALUE(REGEXREPLACE($I580, ""\,"", ""."")), """")"),"")</f>
        <v/>
      </c>
      <c r="N580" s="47" t="str">
        <f>IF(Account!$F580&lt;&gt;"", DATEVALUE(MID($A580,4,3) &amp; LEFT($A580,3) &amp; RIGHT($A580,4)) + TIMEVALUE($B580), "")</f>
        <v/>
      </c>
      <c r="O580" s="48" t="str">
        <f>IF(Account!$F580&lt;&gt;"", DATEVALUE(MID($A580,4,3) &amp; LEFT($A580,3) &amp; RIGHT($A580,4)), "")</f>
        <v/>
      </c>
      <c r="P580" s="49" t="str">
        <f>IFERROR(VLOOKUP($Q580,Selection!$F:$G,2,false))</f>
        <v/>
      </c>
      <c r="Q580" s="50" t="str">
        <f>IF(AND($X580="change",$H580="EUR"),IF(AND($Z580="Crédit",$N580=$N581),$Q581,IF(AND($Z580="Débit",$N580=$N579),$Q579)),IF(OR(AND(OR($E580&lt;&gt;"",$L580=""),$M580&lt;&gt;0),$A580=""),IFERROR(VLOOKUP($E580,Selection!$E:$F,2,false)),IFERROR(VLOOKUP(SUBSTITUTE($I580,"-","",1),$K581:$Q1119,7,false),VLOOKUP($K580,$K581:$Q1119,7,false))))</f>
        <v/>
      </c>
      <c r="R580" s="49" t="str">
        <f t="shared" si="2"/>
        <v/>
      </c>
      <c r="S580" s="51" t="str">
        <f t="shared" si="3"/>
        <v/>
      </c>
      <c r="T580" s="52" t="str">
        <f t="shared" si="4"/>
        <v/>
      </c>
      <c r="U580" s="46" t="str">
        <f t="shared" si="5"/>
        <v/>
      </c>
      <c r="V580" s="53" t="str">
        <f>IFERROR(__xludf.DUMMYFUNCTION(" IF(Account!$F580&lt;&gt;"""", SPLIT(Account!$F580, "" ""), """")"),"")</f>
        <v/>
      </c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</row>
    <row r="581">
      <c r="A581" s="215"/>
      <c r="B581" s="215"/>
      <c r="C581" s="215"/>
      <c r="D581" s="215"/>
      <c r="E581" s="215"/>
      <c r="F581" s="373"/>
      <c r="G581" s="215"/>
      <c r="H581" s="215"/>
      <c r="I581" s="215"/>
      <c r="J581" s="215"/>
      <c r="K581" s="215"/>
      <c r="L581" s="45" t="str">
        <f t="shared" si="1"/>
        <v/>
      </c>
      <c r="M581" s="46" t="str">
        <f>IFERROR(__xludf.DUMMYFUNCTION("IF(Account!$F581&lt;&gt;"""", VALUE(REGEXREPLACE($I581, ""\,"", ""."")), """")"),"")</f>
        <v/>
      </c>
      <c r="N581" s="47" t="str">
        <f>IF(Account!$F581&lt;&gt;"", DATEVALUE(MID($A581,4,3) &amp; LEFT($A581,3) &amp; RIGHT($A581,4)) + TIMEVALUE($B581), "")</f>
        <v/>
      </c>
      <c r="O581" s="48" t="str">
        <f>IF(Account!$F581&lt;&gt;"", DATEVALUE(MID($A581,4,3) &amp; LEFT($A581,3) &amp; RIGHT($A581,4)), "")</f>
        <v/>
      </c>
      <c r="P581" s="49" t="str">
        <f>IFERROR(VLOOKUP($Q581,Selection!$F:$G,2,false))</f>
        <v/>
      </c>
      <c r="Q581" s="50" t="str">
        <f>IF(AND($X581="change",$H581="EUR"),IF(AND($Z581="Crédit",$N581=$N582),$Q582,IF(AND($Z581="Débit",$N581=$N580),$Q580)),IF(OR(AND(OR($E581&lt;&gt;"",$L581=""),$M581&lt;&gt;0),$A581=""),IFERROR(VLOOKUP($E581,Selection!$E:$F,2,false)),IFERROR(VLOOKUP(SUBSTITUTE($I581,"-","",1),$K582:$Q1119,7,false),VLOOKUP($K581,$K582:$Q1119,7,false))))</f>
        <v/>
      </c>
      <c r="R581" s="49" t="str">
        <f t="shared" si="2"/>
        <v/>
      </c>
      <c r="S581" s="51" t="str">
        <f t="shared" si="3"/>
        <v/>
      </c>
      <c r="T581" s="52" t="str">
        <f t="shared" si="4"/>
        <v/>
      </c>
      <c r="U581" s="46" t="str">
        <f t="shared" si="5"/>
        <v/>
      </c>
      <c r="V581" s="53" t="str">
        <f>IFERROR(__xludf.DUMMYFUNCTION(" IF(Account!$F581&lt;&gt;"""", SPLIT(Account!$F581, "" ""), """")"),"")</f>
        <v/>
      </c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</row>
    <row r="582">
      <c r="A582" s="215"/>
      <c r="B582" s="215"/>
      <c r="C582" s="215"/>
      <c r="D582" s="215"/>
      <c r="E582" s="215"/>
      <c r="F582" s="373"/>
      <c r="G582" s="215"/>
      <c r="H582" s="215"/>
      <c r="I582" s="215"/>
      <c r="J582" s="215"/>
      <c r="K582" s="215"/>
      <c r="L582" s="45" t="str">
        <f t="shared" si="1"/>
        <v/>
      </c>
      <c r="M582" s="46" t="str">
        <f>IFERROR(__xludf.DUMMYFUNCTION("IF(Account!$F582&lt;&gt;"""", VALUE(REGEXREPLACE($I582, ""\,"", ""."")), """")"),"")</f>
        <v/>
      </c>
      <c r="N582" s="47" t="str">
        <f>IF(Account!$F582&lt;&gt;"", DATEVALUE(MID($A582,4,3) &amp; LEFT($A582,3) &amp; RIGHT($A582,4)) + TIMEVALUE($B582), "")</f>
        <v/>
      </c>
      <c r="O582" s="48" t="str">
        <f>IF(Account!$F582&lt;&gt;"", DATEVALUE(MID($A582,4,3) &amp; LEFT($A582,3) &amp; RIGHT($A582,4)), "")</f>
        <v/>
      </c>
      <c r="P582" s="49" t="str">
        <f>IFERROR(VLOOKUP($Q582,Selection!$F:$G,2,false))</f>
        <v/>
      </c>
      <c r="Q582" s="50" t="str">
        <f>IF(AND($X582="change",$H582="EUR"),IF(AND($Z582="Crédit",$N582=$N583),$Q583,IF(AND($Z582="Débit",$N582=$N581),$Q581)),IF(OR(AND(OR($E582&lt;&gt;"",$L582=""),$M582&lt;&gt;0),$A582=""),IFERROR(VLOOKUP($E582,Selection!$E:$F,2,false)),IFERROR(VLOOKUP(SUBSTITUTE($I582,"-","",1),$K583:$Q1119,7,false),VLOOKUP($K582,$K583:$Q1119,7,false))))</f>
        <v/>
      </c>
      <c r="R582" s="49" t="str">
        <f t="shared" si="2"/>
        <v/>
      </c>
      <c r="S582" s="51" t="str">
        <f t="shared" si="3"/>
        <v/>
      </c>
      <c r="T582" s="52" t="str">
        <f t="shared" si="4"/>
        <v/>
      </c>
      <c r="U582" s="46" t="str">
        <f t="shared" si="5"/>
        <v/>
      </c>
      <c r="V582" s="53" t="str">
        <f>IFERROR(__xludf.DUMMYFUNCTION(" IF(Account!$F582&lt;&gt;"""", SPLIT(Account!$F582, "" ""), """")"),"")</f>
        <v/>
      </c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</row>
    <row r="583">
      <c r="A583" s="215"/>
      <c r="B583" s="215"/>
      <c r="C583" s="215"/>
      <c r="D583" s="215"/>
      <c r="E583" s="215"/>
      <c r="F583" s="373"/>
      <c r="G583" s="215"/>
      <c r="H583" s="215"/>
      <c r="I583" s="215"/>
      <c r="J583" s="215"/>
      <c r="K583" s="215"/>
      <c r="L583" s="45" t="str">
        <f t="shared" si="1"/>
        <v/>
      </c>
      <c r="M583" s="46" t="str">
        <f>IFERROR(__xludf.DUMMYFUNCTION("IF(Account!$F583&lt;&gt;"""", VALUE(REGEXREPLACE($I583, ""\,"", ""."")), """")"),"")</f>
        <v/>
      </c>
      <c r="N583" s="47" t="str">
        <f>IF(Account!$F583&lt;&gt;"", DATEVALUE(MID($A583,4,3) &amp; LEFT($A583,3) &amp; RIGHT($A583,4)) + TIMEVALUE($B583), "")</f>
        <v/>
      </c>
      <c r="O583" s="48" t="str">
        <f>IF(Account!$F583&lt;&gt;"", DATEVALUE(MID($A583,4,3) &amp; LEFT($A583,3) &amp; RIGHT($A583,4)), "")</f>
        <v/>
      </c>
      <c r="P583" s="49" t="str">
        <f>IFERROR(VLOOKUP($Q583,Selection!$F:$G,2,false))</f>
        <v/>
      </c>
      <c r="Q583" s="50" t="str">
        <f>IF(AND($X583="change",$H583="EUR"),IF(AND($Z583="Crédit",$N583=$N584),$Q584,IF(AND($Z583="Débit",$N583=$N582),$Q582)),IF(OR(AND(OR($E583&lt;&gt;"",$L583=""),$M583&lt;&gt;0),$A583=""),IFERROR(VLOOKUP($E583,Selection!$E:$F,2,false)),IFERROR(VLOOKUP(SUBSTITUTE($I583,"-","",1),$K584:$Q1119,7,false),VLOOKUP($K583,$K584:$Q1119,7,false))))</f>
        <v/>
      </c>
      <c r="R583" s="49" t="str">
        <f t="shared" si="2"/>
        <v/>
      </c>
      <c r="S583" s="51" t="str">
        <f t="shared" si="3"/>
        <v/>
      </c>
      <c r="T583" s="52" t="str">
        <f t="shared" si="4"/>
        <v/>
      </c>
      <c r="U583" s="46" t="str">
        <f t="shared" si="5"/>
        <v/>
      </c>
      <c r="V583" s="53" t="str">
        <f>IFERROR(__xludf.DUMMYFUNCTION(" IF(Account!$F583&lt;&gt;"""", SPLIT(Account!$F583, "" ""), """")"),"")</f>
        <v/>
      </c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</row>
    <row r="584">
      <c r="A584" s="215"/>
      <c r="B584" s="215"/>
      <c r="C584" s="215"/>
      <c r="D584" s="215"/>
      <c r="E584" s="215"/>
      <c r="F584" s="373"/>
      <c r="G584" s="215"/>
      <c r="H584" s="215"/>
      <c r="I584" s="215"/>
      <c r="J584" s="215"/>
      <c r="K584" s="215"/>
      <c r="L584" s="45" t="str">
        <f t="shared" si="1"/>
        <v/>
      </c>
      <c r="M584" s="46" t="str">
        <f>IFERROR(__xludf.DUMMYFUNCTION("IF(Account!$F584&lt;&gt;"""", VALUE(REGEXREPLACE($I584, ""\,"", ""."")), """")"),"")</f>
        <v/>
      </c>
      <c r="N584" s="47" t="str">
        <f>IF(Account!$F584&lt;&gt;"", DATEVALUE(MID($A584,4,3) &amp; LEFT($A584,3) &amp; RIGHT($A584,4)) + TIMEVALUE($B584), "")</f>
        <v/>
      </c>
      <c r="O584" s="48" t="str">
        <f>IF(Account!$F584&lt;&gt;"", DATEVALUE(MID($A584,4,3) &amp; LEFT($A584,3) &amp; RIGHT($A584,4)), "")</f>
        <v/>
      </c>
      <c r="P584" s="49" t="str">
        <f>IFERROR(VLOOKUP($Q584,Selection!$F:$G,2,false))</f>
        <v/>
      </c>
      <c r="Q584" s="50" t="str">
        <f>IF(AND($X584="change",$H584="EUR"),IF(AND($Z584="Crédit",$N584=$N585),$Q585,IF(AND($Z584="Débit",$N584=$N583),$Q583)),IF(OR(AND(OR($E584&lt;&gt;"",$L584=""),$M584&lt;&gt;0),$A584=""),IFERROR(VLOOKUP($E584,Selection!$E:$F,2,false)),IFERROR(VLOOKUP(SUBSTITUTE($I584,"-","",1),$K585:$Q1119,7,false),VLOOKUP($K584,$K585:$Q1119,7,false))))</f>
        <v/>
      </c>
      <c r="R584" s="49" t="str">
        <f t="shared" si="2"/>
        <v/>
      </c>
      <c r="S584" s="51" t="str">
        <f t="shared" si="3"/>
        <v/>
      </c>
      <c r="T584" s="52" t="str">
        <f t="shared" si="4"/>
        <v/>
      </c>
      <c r="U584" s="46" t="str">
        <f t="shared" si="5"/>
        <v/>
      </c>
      <c r="V584" s="53" t="str">
        <f>IFERROR(__xludf.DUMMYFUNCTION(" IF(Account!$F584&lt;&gt;"""", SPLIT(Account!$F584, "" ""), """")"),"")</f>
        <v/>
      </c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</row>
    <row r="585">
      <c r="A585" s="215"/>
      <c r="B585" s="215"/>
      <c r="C585" s="215"/>
      <c r="D585" s="215"/>
      <c r="E585" s="215"/>
      <c r="F585" s="373"/>
      <c r="G585" s="215"/>
      <c r="H585" s="215"/>
      <c r="I585" s="215"/>
      <c r="J585" s="215"/>
      <c r="K585" s="215"/>
      <c r="L585" s="45" t="str">
        <f t="shared" si="1"/>
        <v/>
      </c>
      <c r="M585" s="46" t="str">
        <f>IFERROR(__xludf.DUMMYFUNCTION("IF(Account!$F585&lt;&gt;"""", VALUE(REGEXREPLACE($I585, ""\,"", ""."")), """")"),"")</f>
        <v/>
      </c>
      <c r="N585" s="47" t="str">
        <f>IF(Account!$F585&lt;&gt;"", DATEVALUE(MID($A585,4,3) &amp; LEFT($A585,3) &amp; RIGHT($A585,4)) + TIMEVALUE($B585), "")</f>
        <v/>
      </c>
      <c r="O585" s="48" t="str">
        <f>IF(Account!$F585&lt;&gt;"", DATEVALUE(MID($A585,4,3) &amp; LEFT($A585,3) &amp; RIGHT($A585,4)), "")</f>
        <v/>
      </c>
      <c r="P585" s="49" t="str">
        <f>IFERROR(VLOOKUP($Q585,Selection!$F:$G,2,false))</f>
        <v/>
      </c>
      <c r="Q585" s="50" t="str">
        <f>IF(AND($X585="change",$H585="EUR"),IF(AND($Z585="Crédit",$N585=$N586),$Q586,IF(AND($Z585="Débit",$N585=$N584),$Q584)),IF(OR(AND(OR($E585&lt;&gt;"",$L585=""),$M585&lt;&gt;0),$A585=""),IFERROR(VLOOKUP($E585,Selection!$E:$F,2,false)),IFERROR(VLOOKUP(SUBSTITUTE($I585,"-","",1),$K586:$Q1119,7,false),VLOOKUP($K585,$K586:$Q1119,7,false))))</f>
        <v/>
      </c>
      <c r="R585" s="49" t="str">
        <f t="shared" si="2"/>
        <v/>
      </c>
      <c r="S585" s="51" t="str">
        <f t="shared" si="3"/>
        <v/>
      </c>
      <c r="T585" s="52" t="str">
        <f t="shared" si="4"/>
        <v/>
      </c>
      <c r="U585" s="46" t="str">
        <f t="shared" si="5"/>
        <v/>
      </c>
      <c r="V585" s="53" t="str">
        <f>IFERROR(__xludf.DUMMYFUNCTION(" IF(Account!$F585&lt;&gt;"""", SPLIT(Account!$F585, "" ""), """")"),"")</f>
        <v/>
      </c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</row>
    <row r="586">
      <c r="A586" s="215"/>
      <c r="B586" s="215"/>
      <c r="C586" s="215"/>
      <c r="D586" s="215"/>
      <c r="E586" s="215"/>
      <c r="F586" s="373"/>
      <c r="G586" s="215"/>
      <c r="H586" s="215"/>
      <c r="I586" s="215"/>
      <c r="J586" s="215"/>
      <c r="K586" s="215"/>
      <c r="L586" s="45" t="str">
        <f t="shared" si="1"/>
        <v/>
      </c>
      <c r="M586" s="46" t="str">
        <f>IFERROR(__xludf.DUMMYFUNCTION("IF(Account!$F586&lt;&gt;"""", VALUE(REGEXREPLACE($I586, ""\,"", ""."")), """")"),"")</f>
        <v/>
      </c>
      <c r="N586" s="47" t="str">
        <f>IF(Account!$F586&lt;&gt;"", DATEVALUE(MID($A586,4,3) &amp; LEFT($A586,3) &amp; RIGHT($A586,4)) + TIMEVALUE($B586), "")</f>
        <v/>
      </c>
      <c r="O586" s="48" t="str">
        <f>IF(Account!$F586&lt;&gt;"", DATEVALUE(MID($A586,4,3) &amp; LEFT($A586,3) &amp; RIGHT($A586,4)), "")</f>
        <v/>
      </c>
      <c r="P586" s="49" t="str">
        <f>IFERROR(VLOOKUP($Q586,Selection!$F:$G,2,false))</f>
        <v/>
      </c>
      <c r="Q586" s="50" t="str">
        <f>IF(AND($X586="change",$H586="EUR"),IF(AND($Z586="Crédit",$N586=$N587),$Q587,IF(AND($Z586="Débit",$N586=$N585),$Q585)),IF(OR(AND(OR($E586&lt;&gt;"",$L586=""),$M586&lt;&gt;0),$A586=""),IFERROR(VLOOKUP($E586,Selection!$E:$F,2,false)),IFERROR(VLOOKUP(SUBSTITUTE($I586,"-","",1),$K587:$Q1119,7,false),VLOOKUP($K586,$K587:$Q1119,7,false))))</f>
        <v/>
      </c>
      <c r="R586" s="49" t="str">
        <f t="shared" si="2"/>
        <v/>
      </c>
      <c r="S586" s="51" t="str">
        <f t="shared" si="3"/>
        <v/>
      </c>
      <c r="T586" s="52" t="str">
        <f t="shared" si="4"/>
        <v/>
      </c>
      <c r="U586" s="46" t="str">
        <f t="shared" si="5"/>
        <v/>
      </c>
      <c r="V586" s="53" t="str">
        <f>IFERROR(__xludf.DUMMYFUNCTION(" IF(Account!$F586&lt;&gt;"""", SPLIT(Account!$F586, "" ""), """")"),"")</f>
        <v/>
      </c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</row>
    <row r="587">
      <c r="A587" s="215"/>
      <c r="B587" s="215"/>
      <c r="C587" s="215"/>
      <c r="D587" s="215"/>
      <c r="E587" s="215"/>
      <c r="F587" s="373"/>
      <c r="G587" s="215"/>
      <c r="H587" s="215"/>
      <c r="I587" s="215"/>
      <c r="J587" s="215"/>
      <c r="K587" s="215"/>
      <c r="L587" s="45" t="str">
        <f t="shared" si="1"/>
        <v/>
      </c>
      <c r="M587" s="46" t="str">
        <f>IFERROR(__xludf.DUMMYFUNCTION("IF(Account!$F587&lt;&gt;"""", VALUE(REGEXREPLACE($I587, ""\,"", ""."")), """")"),"")</f>
        <v/>
      </c>
      <c r="N587" s="47" t="str">
        <f>IF(Account!$F587&lt;&gt;"", DATEVALUE(MID($A587,4,3) &amp; LEFT($A587,3) &amp; RIGHT($A587,4)) + TIMEVALUE($B587), "")</f>
        <v/>
      </c>
      <c r="O587" s="48" t="str">
        <f>IF(Account!$F587&lt;&gt;"", DATEVALUE(MID($A587,4,3) &amp; LEFT($A587,3) &amp; RIGHT($A587,4)), "")</f>
        <v/>
      </c>
      <c r="P587" s="49" t="str">
        <f>IFERROR(VLOOKUP($Q587,Selection!$F:$G,2,false))</f>
        <v/>
      </c>
      <c r="Q587" s="50" t="str">
        <f>IF(AND($X587="change",$H587="EUR"),IF(AND($Z587="Crédit",$N587=$N588),$Q588,IF(AND($Z587="Débit",$N587=$N586),$Q586)),IF(OR(AND(OR($E587&lt;&gt;"",$L587=""),$M587&lt;&gt;0),$A587=""),IFERROR(VLOOKUP($E587,Selection!$E:$F,2,false)),IFERROR(VLOOKUP(SUBSTITUTE($I587,"-","",1),$K588:$Q1119,7,false),VLOOKUP($K587,$K588:$Q1119,7,false))))</f>
        <v/>
      </c>
      <c r="R587" s="49" t="str">
        <f t="shared" si="2"/>
        <v/>
      </c>
      <c r="S587" s="51" t="str">
        <f t="shared" si="3"/>
        <v/>
      </c>
      <c r="T587" s="52" t="str">
        <f t="shared" si="4"/>
        <v/>
      </c>
      <c r="U587" s="46" t="str">
        <f t="shared" si="5"/>
        <v/>
      </c>
      <c r="V587" s="53" t="str">
        <f>IFERROR(__xludf.DUMMYFUNCTION(" IF(Account!$F587&lt;&gt;"""", SPLIT(Account!$F587, "" ""), """")"),"")</f>
        <v/>
      </c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</row>
    <row r="588">
      <c r="A588" s="215"/>
      <c r="B588" s="215"/>
      <c r="C588" s="215"/>
      <c r="D588" s="215"/>
      <c r="E588" s="215"/>
      <c r="F588" s="373"/>
      <c r="G588" s="215"/>
      <c r="H588" s="215"/>
      <c r="I588" s="215"/>
      <c r="J588" s="215"/>
      <c r="K588" s="215"/>
      <c r="L588" s="45" t="str">
        <f t="shared" si="1"/>
        <v/>
      </c>
      <c r="M588" s="46" t="str">
        <f>IFERROR(__xludf.DUMMYFUNCTION("IF(Account!$F588&lt;&gt;"""", VALUE(REGEXREPLACE($I588, ""\,"", ""."")), """")"),"")</f>
        <v/>
      </c>
      <c r="N588" s="47" t="str">
        <f>IF(Account!$F588&lt;&gt;"", DATEVALUE(MID($A588,4,3) &amp; LEFT($A588,3) &amp; RIGHT($A588,4)) + TIMEVALUE($B588), "")</f>
        <v/>
      </c>
      <c r="O588" s="48" t="str">
        <f>IF(Account!$F588&lt;&gt;"", DATEVALUE(MID($A588,4,3) &amp; LEFT($A588,3) &amp; RIGHT($A588,4)), "")</f>
        <v/>
      </c>
      <c r="P588" s="49" t="str">
        <f>IFERROR(VLOOKUP($Q588,Selection!$F:$G,2,false))</f>
        <v/>
      </c>
      <c r="Q588" s="50" t="str">
        <f>IF(AND($X588="change",$H588="EUR"),IF(AND($Z588="Crédit",$N588=$N589),$Q589,IF(AND($Z588="Débit",$N588=$N587),$Q587)),IF(OR(AND(OR($E588&lt;&gt;"",$L588=""),$M588&lt;&gt;0),$A588=""),IFERROR(VLOOKUP($E588,Selection!$E:$F,2,false)),IFERROR(VLOOKUP(SUBSTITUTE($I588,"-","",1),$K589:$Q1119,7,false),VLOOKUP($K588,$K589:$Q1119,7,false))))</f>
        <v/>
      </c>
      <c r="R588" s="49" t="str">
        <f t="shared" si="2"/>
        <v/>
      </c>
      <c r="S588" s="51" t="str">
        <f t="shared" si="3"/>
        <v/>
      </c>
      <c r="T588" s="52" t="str">
        <f t="shared" si="4"/>
        <v/>
      </c>
      <c r="U588" s="46" t="str">
        <f t="shared" si="5"/>
        <v/>
      </c>
      <c r="V588" s="53" t="str">
        <f>IFERROR(__xludf.DUMMYFUNCTION(" IF(Account!$F588&lt;&gt;"""", SPLIT(Account!$F588, "" ""), """")"),"")</f>
        <v/>
      </c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</row>
    <row r="589">
      <c r="A589" s="215"/>
      <c r="B589" s="215"/>
      <c r="C589" s="215"/>
      <c r="D589" s="215"/>
      <c r="E589" s="215"/>
      <c r="F589" s="373"/>
      <c r="G589" s="215"/>
      <c r="H589" s="215"/>
      <c r="I589" s="215"/>
      <c r="J589" s="215"/>
      <c r="K589" s="215"/>
      <c r="L589" s="45" t="str">
        <f t="shared" si="1"/>
        <v/>
      </c>
      <c r="M589" s="46" t="str">
        <f>IFERROR(__xludf.DUMMYFUNCTION("IF(Account!$F589&lt;&gt;"""", VALUE(REGEXREPLACE($I589, ""\,"", ""."")), """")"),"")</f>
        <v/>
      </c>
      <c r="N589" s="47" t="str">
        <f>IF(Account!$F589&lt;&gt;"", DATEVALUE(MID($A589,4,3) &amp; LEFT($A589,3) &amp; RIGHT($A589,4)) + TIMEVALUE($B589), "")</f>
        <v/>
      </c>
      <c r="O589" s="48" t="str">
        <f>IF(Account!$F589&lt;&gt;"", DATEVALUE(MID($A589,4,3) &amp; LEFT($A589,3) &amp; RIGHT($A589,4)), "")</f>
        <v/>
      </c>
      <c r="P589" s="49" t="str">
        <f>IFERROR(VLOOKUP($Q589,Selection!$F:$G,2,false))</f>
        <v/>
      </c>
      <c r="Q589" s="50" t="str">
        <f>IF(AND($X589="change",$H589="EUR"),IF(AND($Z589="Crédit",$N589=$N590),$Q590,IF(AND($Z589="Débit",$N589=$N588),$Q588)),IF(OR(AND(OR($E589&lt;&gt;"",$L589=""),$M589&lt;&gt;0),$A589=""),IFERROR(VLOOKUP($E589,Selection!$E:$F,2,false)),IFERROR(VLOOKUP(SUBSTITUTE($I589,"-","",1),$K590:$Q1119,7,false),VLOOKUP($K589,$K590:$Q1119,7,false))))</f>
        <v/>
      </c>
      <c r="R589" s="49" t="str">
        <f t="shared" si="2"/>
        <v/>
      </c>
      <c r="S589" s="51" t="str">
        <f t="shared" si="3"/>
        <v/>
      </c>
      <c r="T589" s="52" t="str">
        <f t="shared" si="4"/>
        <v/>
      </c>
      <c r="U589" s="46" t="str">
        <f t="shared" si="5"/>
        <v/>
      </c>
      <c r="V589" s="53" t="str">
        <f>IFERROR(__xludf.DUMMYFUNCTION(" IF(Account!$F589&lt;&gt;"""", SPLIT(Account!$F589, "" ""), """")"),"")</f>
        <v/>
      </c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</row>
    <row r="590">
      <c r="A590" s="215"/>
      <c r="B590" s="215"/>
      <c r="C590" s="215"/>
      <c r="D590" s="215"/>
      <c r="E590" s="215"/>
      <c r="F590" s="373"/>
      <c r="G590" s="215"/>
      <c r="H590" s="215"/>
      <c r="I590" s="215"/>
      <c r="J590" s="215"/>
      <c r="K590" s="215"/>
      <c r="L590" s="45" t="str">
        <f t="shared" si="1"/>
        <v/>
      </c>
      <c r="M590" s="46" t="str">
        <f>IFERROR(__xludf.DUMMYFUNCTION("IF(Account!$F590&lt;&gt;"""", VALUE(REGEXREPLACE($I590, ""\,"", ""."")), """")"),"")</f>
        <v/>
      </c>
      <c r="N590" s="47" t="str">
        <f>IF(Account!$F590&lt;&gt;"", DATEVALUE(MID($A590,4,3) &amp; LEFT($A590,3) &amp; RIGHT($A590,4)) + TIMEVALUE($B590), "")</f>
        <v/>
      </c>
      <c r="O590" s="48" t="str">
        <f>IF(Account!$F590&lt;&gt;"", DATEVALUE(MID($A590,4,3) &amp; LEFT($A590,3) &amp; RIGHT($A590,4)), "")</f>
        <v/>
      </c>
      <c r="P590" s="49" t="str">
        <f>IFERROR(VLOOKUP($Q590,Selection!$F:$G,2,false))</f>
        <v/>
      </c>
      <c r="Q590" s="50" t="str">
        <f>IF(AND($X590="change",$H590="EUR"),IF(AND($Z590="Crédit",$N590=$N591),$Q591,IF(AND($Z590="Débit",$N590=$N589),$Q589)),IF(OR(AND(OR($E590&lt;&gt;"",$L590=""),$M590&lt;&gt;0),$A590=""),IFERROR(VLOOKUP($E590,Selection!$E:$F,2,false)),IFERROR(VLOOKUP(SUBSTITUTE($I590,"-","",1),$K591:$Q1119,7,false),VLOOKUP($K590,$K591:$Q1119,7,false))))</f>
        <v/>
      </c>
      <c r="R590" s="49" t="str">
        <f t="shared" si="2"/>
        <v/>
      </c>
      <c r="S590" s="51" t="str">
        <f t="shared" si="3"/>
        <v/>
      </c>
      <c r="T590" s="52" t="str">
        <f t="shared" si="4"/>
        <v/>
      </c>
      <c r="U590" s="46" t="str">
        <f t="shared" si="5"/>
        <v/>
      </c>
      <c r="V590" s="53" t="str">
        <f>IFERROR(__xludf.DUMMYFUNCTION(" IF(Account!$F590&lt;&gt;"""", SPLIT(Account!$F590, "" ""), """")"),"")</f>
        <v/>
      </c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</row>
    <row r="591">
      <c r="A591" s="215"/>
      <c r="B591" s="215"/>
      <c r="C591" s="215"/>
      <c r="D591" s="215"/>
      <c r="E591" s="215"/>
      <c r="F591" s="373"/>
      <c r="G591" s="215"/>
      <c r="H591" s="215"/>
      <c r="I591" s="215"/>
      <c r="J591" s="215"/>
      <c r="K591" s="215"/>
      <c r="L591" s="45" t="str">
        <f t="shared" si="1"/>
        <v/>
      </c>
      <c r="M591" s="46" t="str">
        <f>IFERROR(__xludf.DUMMYFUNCTION("IF(Account!$F591&lt;&gt;"""", VALUE(REGEXREPLACE($I591, ""\,"", ""."")), """")"),"")</f>
        <v/>
      </c>
      <c r="N591" s="47" t="str">
        <f>IF(Account!$F591&lt;&gt;"", DATEVALUE(MID($A591,4,3) &amp; LEFT($A591,3) &amp; RIGHT($A591,4)) + TIMEVALUE($B591), "")</f>
        <v/>
      </c>
      <c r="O591" s="48" t="str">
        <f>IF(Account!$F591&lt;&gt;"", DATEVALUE(MID($A591,4,3) &amp; LEFT($A591,3) &amp; RIGHT($A591,4)), "")</f>
        <v/>
      </c>
      <c r="P591" s="49" t="str">
        <f>IFERROR(VLOOKUP($Q591,Selection!$F:$G,2,false))</f>
        <v/>
      </c>
      <c r="Q591" s="50" t="str">
        <f>IF(AND($X591="change",$H591="EUR"),IF(AND($Z591="Crédit",$N591=$N592),$Q592,IF(AND($Z591="Débit",$N591=$N590),$Q590)),IF(OR(AND(OR($E591&lt;&gt;"",$L591=""),$M591&lt;&gt;0),$A591=""),IFERROR(VLOOKUP($E591,Selection!$E:$F,2,false)),IFERROR(VLOOKUP(SUBSTITUTE($I591,"-","",1),$K592:$Q1119,7,false),VLOOKUP($K591,$K592:$Q1119,7,false))))</f>
        <v/>
      </c>
      <c r="R591" s="49" t="str">
        <f t="shared" si="2"/>
        <v/>
      </c>
      <c r="S591" s="51" t="str">
        <f t="shared" si="3"/>
        <v/>
      </c>
      <c r="T591" s="52" t="str">
        <f t="shared" si="4"/>
        <v/>
      </c>
      <c r="U591" s="46" t="str">
        <f t="shared" si="5"/>
        <v/>
      </c>
      <c r="V591" s="53" t="str">
        <f>IFERROR(__xludf.DUMMYFUNCTION(" IF(Account!$F591&lt;&gt;"""", SPLIT(Account!$F591, "" ""), """")"),"")</f>
        <v/>
      </c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</row>
    <row r="592">
      <c r="A592" s="215"/>
      <c r="B592" s="215"/>
      <c r="C592" s="215"/>
      <c r="D592" s="215"/>
      <c r="E592" s="215"/>
      <c r="F592" s="373"/>
      <c r="G592" s="215"/>
      <c r="H592" s="215"/>
      <c r="I592" s="215"/>
      <c r="J592" s="215"/>
      <c r="K592" s="215"/>
      <c r="L592" s="45" t="str">
        <f t="shared" si="1"/>
        <v/>
      </c>
      <c r="M592" s="46" t="str">
        <f>IFERROR(__xludf.DUMMYFUNCTION("IF(Account!$F592&lt;&gt;"""", VALUE(REGEXREPLACE($I592, ""\,"", ""."")), """")"),"")</f>
        <v/>
      </c>
      <c r="N592" s="47" t="str">
        <f>IF(Account!$F592&lt;&gt;"", DATEVALUE(MID($A592,4,3) &amp; LEFT($A592,3) &amp; RIGHT($A592,4)) + TIMEVALUE($B592), "")</f>
        <v/>
      </c>
      <c r="O592" s="48" t="str">
        <f>IF(Account!$F592&lt;&gt;"", DATEVALUE(MID($A592,4,3) &amp; LEFT($A592,3) &amp; RIGHT($A592,4)), "")</f>
        <v/>
      </c>
      <c r="P592" s="49" t="str">
        <f>IFERROR(VLOOKUP($Q592,Selection!$F:$G,2,false))</f>
        <v/>
      </c>
      <c r="Q592" s="50" t="str">
        <f>IF(AND($X592="change",$H592="EUR"),IF(AND($Z592="Crédit",$N592=$N593),$Q593,IF(AND($Z592="Débit",$N592=$N591),$Q591)),IF(OR(AND(OR($E592&lt;&gt;"",$L592=""),$M592&lt;&gt;0),$A592=""),IFERROR(VLOOKUP($E592,Selection!$E:$F,2,false)),IFERROR(VLOOKUP(SUBSTITUTE($I592,"-","",1),$K593:$Q1119,7,false),VLOOKUP($K592,$K593:$Q1119,7,false))))</f>
        <v/>
      </c>
      <c r="R592" s="49" t="str">
        <f t="shared" si="2"/>
        <v/>
      </c>
      <c r="S592" s="51" t="str">
        <f t="shared" si="3"/>
        <v/>
      </c>
      <c r="T592" s="52" t="str">
        <f t="shared" si="4"/>
        <v/>
      </c>
      <c r="U592" s="46" t="str">
        <f t="shared" si="5"/>
        <v/>
      </c>
      <c r="V592" s="53" t="str">
        <f>IFERROR(__xludf.DUMMYFUNCTION(" IF(Account!$F592&lt;&gt;"""", SPLIT(Account!$F592, "" ""), """")"),"")</f>
        <v/>
      </c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</row>
    <row r="593">
      <c r="A593" s="215"/>
      <c r="B593" s="215"/>
      <c r="C593" s="215"/>
      <c r="D593" s="215"/>
      <c r="E593" s="215"/>
      <c r="F593" s="373"/>
      <c r="G593" s="215"/>
      <c r="H593" s="215"/>
      <c r="I593" s="215"/>
      <c r="J593" s="215"/>
      <c r="K593" s="215"/>
      <c r="L593" s="45" t="str">
        <f t="shared" si="1"/>
        <v/>
      </c>
      <c r="M593" s="46" t="str">
        <f>IFERROR(__xludf.DUMMYFUNCTION("IF(Account!$F593&lt;&gt;"""", VALUE(REGEXREPLACE($I593, ""\,"", ""."")), """")"),"")</f>
        <v/>
      </c>
      <c r="N593" s="47" t="str">
        <f>IF(Account!$F593&lt;&gt;"", DATEVALUE(MID($A593,4,3) &amp; LEFT($A593,3) &amp; RIGHT($A593,4)) + TIMEVALUE($B593), "")</f>
        <v/>
      </c>
      <c r="O593" s="48" t="str">
        <f>IF(Account!$F593&lt;&gt;"", DATEVALUE(MID($A593,4,3) &amp; LEFT($A593,3) &amp; RIGHT($A593,4)), "")</f>
        <v/>
      </c>
      <c r="P593" s="49" t="str">
        <f>IFERROR(VLOOKUP($Q593,Selection!$F:$G,2,false))</f>
        <v/>
      </c>
      <c r="Q593" s="50" t="str">
        <f>IF(AND($X593="change",$H593="EUR"),IF(AND($Z593="Crédit",$N593=$N594),$Q594,IF(AND($Z593="Débit",$N593=$N592),$Q592)),IF(OR(AND(OR($E593&lt;&gt;"",$L593=""),$M593&lt;&gt;0),$A593=""),IFERROR(VLOOKUP($E593,Selection!$E:$F,2,false)),IFERROR(VLOOKUP(SUBSTITUTE($I593,"-","",1),$K594:$Q1119,7,false),VLOOKUP($K593,$K594:$Q1119,7,false))))</f>
        <v/>
      </c>
      <c r="R593" s="49" t="str">
        <f t="shared" si="2"/>
        <v/>
      </c>
      <c r="S593" s="51" t="str">
        <f t="shared" si="3"/>
        <v/>
      </c>
      <c r="T593" s="52" t="str">
        <f t="shared" si="4"/>
        <v/>
      </c>
      <c r="U593" s="46" t="str">
        <f t="shared" si="5"/>
        <v/>
      </c>
      <c r="V593" s="53" t="str">
        <f>IFERROR(__xludf.DUMMYFUNCTION(" IF(Account!$F593&lt;&gt;"""", SPLIT(Account!$F593, "" ""), """")"),"")</f>
        <v/>
      </c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</row>
    <row r="594">
      <c r="A594" s="215"/>
      <c r="B594" s="215"/>
      <c r="C594" s="215"/>
      <c r="D594" s="215"/>
      <c r="E594" s="215"/>
      <c r="F594" s="373"/>
      <c r="G594" s="215"/>
      <c r="H594" s="215"/>
      <c r="I594" s="215"/>
      <c r="J594" s="215"/>
      <c r="K594" s="215"/>
      <c r="L594" s="45" t="str">
        <f t="shared" si="1"/>
        <v/>
      </c>
      <c r="M594" s="46" t="str">
        <f>IFERROR(__xludf.DUMMYFUNCTION("IF(Account!$F594&lt;&gt;"""", VALUE(REGEXREPLACE($I594, ""\,"", ""."")), """")"),"")</f>
        <v/>
      </c>
      <c r="N594" s="47" t="str">
        <f>IF(Account!$F594&lt;&gt;"", DATEVALUE(MID($A594,4,3) &amp; LEFT($A594,3) &amp; RIGHT($A594,4)) + TIMEVALUE($B594), "")</f>
        <v/>
      </c>
      <c r="O594" s="48" t="str">
        <f>IF(Account!$F594&lt;&gt;"", DATEVALUE(MID($A594,4,3) &amp; LEFT($A594,3) &amp; RIGHT($A594,4)), "")</f>
        <v/>
      </c>
      <c r="P594" s="49" t="str">
        <f>IFERROR(VLOOKUP($Q594,Selection!$F:$G,2,false))</f>
        <v/>
      </c>
      <c r="Q594" s="50" t="str">
        <f>IF(AND($X594="change",$H594="EUR"),IF(AND($Z594="Crédit",$N594=$N595),$Q595,IF(AND($Z594="Débit",$N594=$N593),$Q593)),IF(OR(AND(OR($E594&lt;&gt;"",$L594=""),$M594&lt;&gt;0),$A594=""),IFERROR(VLOOKUP($E594,Selection!$E:$F,2,false)),IFERROR(VLOOKUP(SUBSTITUTE($I594,"-","",1),$K595:$Q1119,7,false),VLOOKUP($K594,$K595:$Q1119,7,false))))</f>
        <v/>
      </c>
      <c r="R594" s="49" t="str">
        <f t="shared" si="2"/>
        <v/>
      </c>
      <c r="S594" s="51" t="str">
        <f t="shared" si="3"/>
        <v/>
      </c>
      <c r="T594" s="52" t="str">
        <f t="shared" si="4"/>
        <v/>
      </c>
      <c r="U594" s="46" t="str">
        <f t="shared" si="5"/>
        <v/>
      </c>
      <c r="V594" s="53" t="str">
        <f>IFERROR(__xludf.DUMMYFUNCTION(" IF(Account!$F594&lt;&gt;"""", SPLIT(Account!$F594, "" ""), """")"),"")</f>
        <v/>
      </c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</row>
    <row r="595">
      <c r="A595" s="215"/>
      <c r="B595" s="215"/>
      <c r="C595" s="215"/>
      <c r="D595" s="215"/>
      <c r="E595" s="215"/>
      <c r="F595" s="373"/>
      <c r="G595" s="215"/>
      <c r="H595" s="215"/>
      <c r="I595" s="215"/>
      <c r="J595" s="215"/>
      <c r="K595" s="215"/>
      <c r="L595" s="45" t="str">
        <f t="shared" si="1"/>
        <v/>
      </c>
      <c r="M595" s="46" t="str">
        <f>IFERROR(__xludf.DUMMYFUNCTION("IF(Account!$F595&lt;&gt;"""", VALUE(REGEXREPLACE($I595, ""\,"", ""."")), """")"),"")</f>
        <v/>
      </c>
      <c r="N595" s="47" t="str">
        <f>IF(Account!$F595&lt;&gt;"", DATEVALUE(MID($A595,4,3) &amp; LEFT($A595,3) &amp; RIGHT($A595,4)) + TIMEVALUE($B595), "")</f>
        <v/>
      </c>
      <c r="O595" s="48" t="str">
        <f>IF(Account!$F595&lt;&gt;"", DATEVALUE(MID($A595,4,3) &amp; LEFT($A595,3) &amp; RIGHT($A595,4)), "")</f>
        <v/>
      </c>
      <c r="P595" s="49" t="str">
        <f>IFERROR(VLOOKUP($Q595,Selection!$F:$G,2,false))</f>
        <v/>
      </c>
      <c r="Q595" s="50" t="str">
        <f>IF(AND($X595="change",$H595="EUR"),IF(AND($Z595="Crédit",$N595=$N596),$Q596,IF(AND($Z595="Débit",$N595=$N594),$Q594)),IF(OR(AND(OR($E595&lt;&gt;"",$L595=""),$M595&lt;&gt;0),$A595=""),IFERROR(VLOOKUP($E595,Selection!$E:$F,2,false)),IFERROR(VLOOKUP(SUBSTITUTE($I595,"-","",1),$K596:$Q1119,7,false),VLOOKUP($K595,$K596:$Q1119,7,false))))</f>
        <v/>
      </c>
      <c r="R595" s="49" t="str">
        <f t="shared" si="2"/>
        <v/>
      </c>
      <c r="S595" s="51" t="str">
        <f t="shared" si="3"/>
        <v/>
      </c>
      <c r="T595" s="52" t="str">
        <f t="shared" si="4"/>
        <v/>
      </c>
      <c r="U595" s="46" t="str">
        <f t="shared" si="5"/>
        <v/>
      </c>
      <c r="V595" s="53" t="str">
        <f>IFERROR(__xludf.DUMMYFUNCTION(" IF(Account!$F595&lt;&gt;"""", SPLIT(Account!$F595, "" ""), """")"),"")</f>
        <v/>
      </c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</row>
    <row r="596">
      <c r="A596" s="215"/>
      <c r="B596" s="215"/>
      <c r="C596" s="215"/>
      <c r="D596" s="215"/>
      <c r="E596" s="215"/>
      <c r="F596" s="373"/>
      <c r="G596" s="215"/>
      <c r="H596" s="215"/>
      <c r="I596" s="215"/>
      <c r="J596" s="215"/>
      <c r="K596" s="215"/>
      <c r="L596" s="45" t="str">
        <f t="shared" si="1"/>
        <v/>
      </c>
      <c r="M596" s="46" t="str">
        <f>IFERROR(__xludf.DUMMYFUNCTION("IF(Account!$F596&lt;&gt;"""", VALUE(REGEXREPLACE($I596, ""\,"", ""."")), """")"),"")</f>
        <v/>
      </c>
      <c r="N596" s="47" t="str">
        <f>IF(Account!$F596&lt;&gt;"", DATEVALUE(MID($A596,4,3) &amp; LEFT($A596,3) &amp; RIGHT($A596,4)) + TIMEVALUE($B596), "")</f>
        <v/>
      </c>
      <c r="O596" s="48" t="str">
        <f>IF(Account!$F596&lt;&gt;"", DATEVALUE(MID($A596,4,3) &amp; LEFT($A596,3) &amp; RIGHT($A596,4)), "")</f>
        <v/>
      </c>
      <c r="P596" s="49" t="str">
        <f>IFERROR(VLOOKUP($Q596,Selection!$F:$G,2,false))</f>
        <v/>
      </c>
      <c r="Q596" s="50" t="str">
        <f>IF(AND($X596="change",$H596="EUR"),IF(AND($Z596="Crédit",$N596=$N597),$Q597,IF(AND($Z596="Débit",$N596=$N595),$Q595)),IF(OR(AND(OR($E596&lt;&gt;"",$L596=""),$M596&lt;&gt;0),$A596=""),IFERROR(VLOOKUP($E596,Selection!$E:$F,2,false)),IFERROR(VLOOKUP(SUBSTITUTE($I596,"-","",1),$K597:$Q1119,7,false),VLOOKUP($K596,$K597:$Q1119,7,false))))</f>
        <v/>
      </c>
      <c r="R596" s="49" t="str">
        <f t="shared" si="2"/>
        <v/>
      </c>
      <c r="S596" s="51" t="str">
        <f t="shared" si="3"/>
        <v/>
      </c>
      <c r="T596" s="52" t="str">
        <f t="shared" si="4"/>
        <v/>
      </c>
      <c r="U596" s="46" t="str">
        <f t="shared" si="5"/>
        <v/>
      </c>
      <c r="V596" s="53" t="str">
        <f>IFERROR(__xludf.DUMMYFUNCTION(" IF(Account!$F596&lt;&gt;"""", SPLIT(Account!$F596, "" ""), """")"),"")</f>
        <v/>
      </c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</row>
    <row r="597">
      <c r="A597" s="215"/>
      <c r="B597" s="215"/>
      <c r="C597" s="215"/>
      <c r="D597" s="215"/>
      <c r="E597" s="215"/>
      <c r="F597" s="373"/>
      <c r="G597" s="215"/>
      <c r="H597" s="215"/>
      <c r="I597" s="215"/>
      <c r="J597" s="215"/>
      <c r="K597" s="215"/>
      <c r="L597" s="45" t="str">
        <f t="shared" si="1"/>
        <v/>
      </c>
      <c r="M597" s="46" t="str">
        <f>IFERROR(__xludf.DUMMYFUNCTION("IF(Account!$F597&lt;&gt;"""", VALUE(REGEXREPLACE($I597, ""\,"", ""."")), """")"),"")</f>
        <v/>
      </c>
      <c r="N597" s="47" t="str">
        <f>IF(Account!$F597&lt;&gt;"", DATEVALUE(MID($A597,4,3) &amp; LEFT($A597,3) &amp; RIGHT($A597,4)) + TIMEVALUE($B597), "")</f>
        <v/>
      </c>
      <c r="O597" s="48" t="str">
        <f>IF(Account!$F597&lt;&gt;"", DATEVALUE(MID($A597,4,3) &amp; LEFT($A597,3) &amp; RIGHT($A597,4)), "")</f>
        <v/>
      </c>
      <c r="P597" s="49" t="str">
        <f>IFERROR(VLOOKUP($Q597,Selection!$F:$G,2,false))</f>
        <v/>
      </c>
      <c r="Q597" s="50" t="str">
        <f>IF(AND($X597="change",$H597="EUR"),IF(AND($Z597="Crédit",$N597=$N598),$Q598,IF(AND($Z597="Débit",$N597=$N596),$Q596)),IF(OR(AND(OR($E597&lt;&gt;"",$L597=""),$M597&lt;&gt;0),$A597=""),IFERROR(VLOOKUP($E597,Selection!$E:$F,2,false)),IFERROR(VLOOKUP(SUBSTITUTE($I597,"-","",1),$K598:$Q1119,7,false),VLOOKUP($K597,$K598:$Q1119,7,false))))</f>
        <v/>
      </c>
      <c r="R597" s="49" t="str">
        <f t="shared" si="2"/>
        <v/>
      </c>
      <c r="S597" s="51" t="str">
        <f t="shared" si="3"/>
        <v/>
      </c>
      <c r="T597" s="52" t="str">
        <f t="shared" si="4"/>
        <v/>
      </c>
      <c r="U597" s="46" t="str">
        <f t="shared" si="5"/>
        <v/>
      </c>
      <c r="V597" s="53" t="str">
        <f>IFERROR(__xludf.DUMMYFUNCTION(" IF(Account!$F597&lt;&gt;"""", SPLIT(Account!$F597, "" ""), """")"),"")</f>
        <v/>
      </c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</row>
    <row r="598">
      <c r="A598" s="215"/>
      <c r="B598" s="215"/>
      <c r="C598" s="215"/>
      <c r="D598" s="215"/>
      <c r="E598" s="215"/>
      <c r="F598" s="373"/>
      <c r="G598" s="215"/>
      <c r="H598" s="215"/>
      <c r="I598" s="215"/>
      <c r="J598" s="215"/>
      <c r="K598" s="215"/>
      <c r="L598" s="45" t="str">
        <f t="shared" si="1"/>
        <v/>
      </c>
      <c r="M598" s="46" t="str">
        <f>IFERROR(__xludf.DUMMYFUNCTION("IF(Account!$F598&lt;&gt;"""", VALUE(REGEXREPLACE($I598, ""\,"", ""."")), """")"),"")</f>
        <v/>
      </c>
      <c r="N598" s="47" t="str">
        <f>IF(Account!$F598&lt;&gt;"", DATEVALUE(MID($A598,4,3) &amp; LEFT($A598,3) &amp; RIGHT($A598,4)) + TIMEVALUE($B598), "")</f>
        <v/>
      </c>
      <c r="O598" s="48" t="str">
        <f>IF(Account!$F598&lt;&gt;"", DATEVALUE(MID($A598,4,3) &amp; LEFT($A598,3) &amp; RIGHT($A598,4)), "")</f>
        <v/>
      </c>
      <c r="P598" s="49" t="str">
        <f>IFERROR(VLOOKUP($Q598,Selection!$F:$G,2,false))</f>
        <v/>
      </c>
      <c r="Q598" s="50" t="str">
        <f>IF(AND($X598="change",$H598="EUR"),IF(AND($Z598="Crédit",$N598=$N599),$Q599,IF(AND($Z598="Débit",$N598=$N597),$Q597)),IF(OR(AND(OR($E598&lt;&gt;"",$L598=""),$M598&lt;&gt;0),$A598=""),IFERROR(VLOOKUP($E598,Selection!$E:$F,2,false)),IFERROR(VLOOKUP(SUBSTITUTE($I598,"-","",1),$K599:$Q1119,7,false),VLOOKUP($K598,$K599:$Q1119,7,false))))</f>
        <v/>
      </c>
      <c r="R598" s="49" t="str">
        <f t="shared" si="2"/>
        <v/>
      </c>
      <c r="S598" s="51" t="str">
        <f t="shared" si="3"/>
        <v/>
      </c>
      <c r="T598" s="52" t="str">
        <f t="shared" si="4"/>
        <v/>
      </c>
      <c r="U598" s="46" t="str">
        <f t="shared" si="5"/>
        <v/>
      </c>
      <c r="V598" s="53" t="str">
        <f>IFERROR(__xludf.DUMMYFUNCTION(" IF(Account!$F598&lt;&gt;"""", SPLIT(Account!$F598, "" ""), """")"),"")</f>
        <v/>
      </c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</row>
    <row r="599">
      <c r="A599" s="215"/>
      <c r="B599" s="215"/>
      <c r="C599" s="215"/>
      <c r="D599" s="215"/>
      <c r="E599" s="215"/>
      <c r="F599" s="373"/>
      <c r="G599" s="215"/>
      <c r="H599" s="215"/>
      <c r="I599" s="215"/>
      <c r="J599" s="215"/>
      <c r="K599" s="215"/>
      <c r="L599" s="45" t="str">
        <f t="shared" si="1"/>
        <v/>
      </c>
      <c r="M599" s="46" t="str">
        <f>IFERROR(__xludf.DUMMYFUNCTION("IF(Account!$F599&lt;&gt;"""", VALUE(REGEXREPLACE($I599, ""\,"", ""."")), """")"),"")</f>
        <v/>
      </c>
      <c r="N599" s="47" t="str">
        <f>IF(Account!$F599&lt;&gt;"", DATEVALUE(MID($A599,4,3) &amp; LEFT($A599,3) &amp; RIGHT($A599,4)) + TIMEVALUE($B599), "")</f>
        <v/>
      </c>
      <c r="O599" s="48" t="str">
        <f>IF(Account!$F599&lt;&gt;"", DATEVALUE(MID($A599,4,3) &amp; LEFT($A599,3) &amp; RIGHT($A599,4)), "")</f>
        <v/>
      </c>
      <c r="P599" s="49" t="str">
        <f>IFERROR(VLOOKUP($Q599,Selection!$F:$G,2,false))</f>
        <v/>
      </c>
      <c r="Q599" s="50" t="str">
        <f>IF(AND($X599="change",$H599="EUR"),IF(AND($Z599="Crédit",$N599=$N600),$Q600,IF(AND($Z599="Débit",$N599=$N598),$Q598)),IF(OR(AND(OR($E599&lt;&gt;"",$L599=""),$M599&lt;&gt;0),$A599=""),IFERROR(VLOOKUP($E599,Selection!$E:$F,2,false)),IFERROR(VLOOKUP(SUBSTITUTE($I599,"-","",1),$K600:$Q1119,7,false),VLOOKUP($K599,$K600:$Q1119,7,false))))</f>
        <v/>
      </c>
      <c r="R599" s="49" t="str">
        <f t="shared" si="2"/>
        <v/>
      </c>
      <c r="S599" s="51" t="str">
        <f t="shared" si="3"/>
        <v/>
      </c>
      <c r="T599" s="52" t="str">
        <f t="shared" si="4"/>
        <v/>
      </c>
      <c r="U599" s="46" t="str">
        <f t="shared" si="5"/>
        <v/>
      </c>
      <c r="V599" s="53" t="str">
        <f>IFERROR(__xludf.DUMMYFUNCTION(" IF(Account!$F599&lt;&gt;"""", SPLIT(Account!$F599, "" ""), """")"),"")</f>
        <v/>
      </c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</row>
    <row r="600">
      <c r="A600" s="215"/>
      <c r="B600" s="215"/>
      <c r="C600" s="215"/>
      <c r="D600" s="215"/>
      <c r="E600" s="215"/>
      <c r="F600" s="373"/>
      <c r="G600" s="215"/>
      <c r="H600" s="215"/>
      <c r="I600" s="215"/>
      <c r="J600" s="215"/>
      <c r="K600" s="215"/>
      <c r="L600" s="45" t="str">
        <f t="shared" si="1"/>
        <v/>
      </c>
      <c r="M600" s="46" t="str">
        <f>IFERROR(__xludf.DUMMYFUNCTION("IF(Account!$F600&lt;&gt;"""", VALUE(REGEXREPLACE($I600, ""\,"", ""."")), """")"),"")</f>
        <v/>
      </c>
      <c r="N600" s="47" t="str">
        <f>IF(Account!$F600&lt;&gt;"", DATEVALUE(MID($A600,4,3) &amp; LEFT($A600,3) &amp; RIGHT($A600,4)) + TIMEVALUE($B600), "")</f>
        <v/>
      </c>
      <c r="O600" s="48" t="str">
        <f>IF(Account!$F600&lt;&gt;"", DATEVALUE(MID($A600,4,3) &amp; LEFT($A600,3) &amp; RIGHT($A600,4)), "")</f>
        <v/>
      </c>
      <c r="P600" s="49" t="str">
        <f>IFERROR(VLOOKUP($Q600,Selection!$F:$G,2,false))</f>
        <v/>
      </c>
      <c r="Q600" s="50" t="str">
        <f>IF(AND($X600="change",$H600="EUR"),IF(AND($Z600="Crédit",$N600=$N601),$Q601,IF(AND($Z600="Débit",$N600=$N599),$Q599)),IF(OR(AND(OR($E600&lt;&gt;"",$L600=""),$M600&lt;&gt;0),$A600=""),IFERROR(VLOOKUP($E600,Selection!$E:$F,2,false)),IFERROR(VLOOKUP(SUBSTITUTE($I600,"-","",1),$K601:$Q1119,7,false),VLOOKUP($K600,$K601:$Q1119,7,false))))</f>
        <v/>
      </c>
      <c r="R600" s="49" t="str">
        <f t="shared" si="2"/>
        <v/>
      </c>
      <c r="S600" s="51" t="str">
        <f t="shared" si="3"/>
        <v/>
      </c>
      <c r="T600" s="52" t="str">
        <f t="shared" si="4"/>
        <v/>
      </c>
      <c r="U600" s="46" t="str">
        <f t="shared" si="5"/>
        <v/>
      </c>
      <c r="V600" s="53" t="str">
        <f>IFERROR(__xludf.DUMMYFUNCTION(" IF(Account!$F600&lt;&gt;"""", SPLIT(Account!$F600, "" ""), """")"),"")</f>
        <v/>
      </c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</row>
    <row r="601">
      <c r="A601" s="215"/>
      <c r="B601" s="215"/>
      <c r="C601" s="215"/>
      <c r="D601" s="215"/>
      <c r="E601" s="215"/>
      <c r="F601" s="373"/>
      <c r="G601" s="215"/>
      <c r="H601" s="215"/>
      <c r="I601" s="215"/>
      <c r="J601" s="215"/>
      <c r="K601" s="215"/>
      <c r="L601" s="45" t="str">
        <f t="shared" si="1"/>
        <v/>
      </c>
      <c r="M601" s="46" t="str">
        <f>IFERROR(__xludf.DUMMYFUNCTION("IF(Account!$F601&lt;&gt;"""", VALUE(REGEXREPLACE($I601, ""\,"", ""."")), """")"),"")</f>
        <v/>
      </c>
      <c r="N601" s="47" t="str">
        <f>IF(Account!$F601&lt;&gt;"", DATEVALUE(MID($A601,4,3) &amp; LEFT($A601,3) &amp; RIGHT($A601,4)) + TIMEVALUE($B601), "")</f>
        <v/>
      </c>
      <c r="O601" s="48" t="str">
        <f>IF(Account!$F601&lt;&gt;"", DATEVALUE(MID($A601,4,3) &amp; LEFT($A601,3) &amp; RIGHT($A601,4)), "")</f>
        <v/>
      </c>
      <c r="P601" s="49" t="str">
        <f>IFERROR(VLOOKUP($Q601,Selection!$F:$G,2,false))</f>
        <v/>
      </c>
      <c r="Q601" s="50" t="str">
        <f>IF(AND($X601="change",$H601="EUR"),IF(AND($Z601="Crédit",$N601=$N602),$Q602,IF(AND($Z601="Débit",$N601=$N600),$Q600)),IF(OR(AND(OR($E601&lt;&gt;"",$L601=""),$M601&lt;&gt;0),$A601=""),IFERROR(VLOOKUP($E601,Selection!$E:$F,2,false)),IFERROR(VLOOKUP(SUBSTITUTE($I601,"-","",1),$K602:$Q1119,7,false),VLOOKUP($K601,$K602:$Q1119,7,false))))</f>
        <v/>
      </c>
      <c r="R601" s="49" t="str">
        <f t="shared" si="2"/>
        <v/>
      </c>
      <c r="S601" s="51" t="str">
        <f t="shared" si="3"/>
        <v/>
      </c>
      <c r="T601" s="52" t="str">
        <f t="shared" si="4"/>
        <v/>
      </c>
      <c r="U601" s="46" t="str">
        <f t="shared" si="5"/>
        <v/>
      </c>
      <c r="V601" s="53" t="str">
        <f>IFERROR(__xludf.DUMMYFUNCTION(" IF(Account!$F601&lt;&gt;"""", SPLIT(Account!$F601, "" ""), """")"),"")</f>
        <v/>
      </c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</row>
    <row r="602">
      <c r="A602" s="215"/>
      <c r="B602" s="215"/>
      <c r="C602" s="215"/>
      <c r="D602" s="215"/>
      <c r="E602" s="215"/>
      <c r="F602" s="373"/>
      <c r="G602" s="215"/>
      <c r="H602" s="215"/>
      <c r="I602" s="215"/>
      <c r="J602" s="215"/>
      <c r="K602" s="215"/>
      <c r="L602" s="45" t="str">
        <f t="shared" si="1"/>
        <v/>
      </c>
      <c r="M602" s="46" t="str">
        <f>IFERROR(__xludf.DUMMYFUNCTION("IF(Account!$F602&lt;&gt;"""", VALUE(REGEXREPLACE($I602, ""\,"", ""."")), """")"),"")</f>
        <v/>
      </c>
      <c r="N602" s="47" t="str">
        <f>IF(Account!$F602&lt;&gt;"", DATEVALUE(MID($A602,4,3) &amp; LEFT($A602,3) &amp; RIGHT($A602,4)) + TIMEVALUE($B602), "")</f>
        <v/>
      </c>
      <c r="O602" s="48" t="str">
        <f>IF(Account!$F602&lt;&gt;"", DATEVALUE(MID($A602,4,3) &amp; LEFT($A602,3) &amp; RIGHT($A602,4)), "")</f>
        <v/>
      </c>
      <c r="P602" s="49" t="str">
        <f>IFERROR(VLOOKUP($Q602,Selection!$F:$G,2,false))</f>
        <v/>
      </c>
      <c r="Q602" s="50" t="str">
        <f>IF(AND($X602="change",$H602="EUR"),IF(AND($Z602="Crédit",$N602=$N603),$Q603,IF(AND($Z602="Débit",$N602=$N601),$Q601)),IF(OR(AND(OR($E602&lt;&gt;"",$L602=""),$M602&lt;&gt;0),$A602=""),IFERROR(VLOOKUP($E602,Selection!$E:$F,2,false)),IFERROR(VLOOKUP(SUBSTITUTE($I602,"-","",1),$K603:$Q1119,7,false),VLOOKUP($K602,$K603:$Q1119,7,false))))</f>
        <v/>
      </c>
      <c r="R602" s="49" t="str">
        <f t="shared" si="2"/>
        <v/>
      </c>
      <c r="S602" s="51" t="str">
        <f t="shared" si="3"/>
        <v/>
      </c>
      <c r="T602" s="52" t="str">
        <f t="shared" si="4"/>
        <v/>
      </c>
      <c r="U602" s="46" t="str">
        <f t="shared" si="5"/>
        <v/>
      </c>
      <c r="V602" s="53" t="str">
        <f>IFERROR(__xludf.DUMMYFUNCTION(" IF(Account!$F602&lt;&gt;"""", SPLIT(Account!$F602, "" ""), """")"),"")</f>
        <v/>
      </c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</row>
    <row r="603">
      <c r="A603" s="215"/>
      <c r="B603" s="215"/>
      <c r="C603" s="215"/>
      <c r="D603" s="215"/>
      <c r="E603" s="215"/>
      <c r="F603" s="373"/>
      <c r="G603" s="215"/>
      <c r="H603" s="215"/>
      <c r="I603" s="215"/>
      <c r="J603" s="215"/>
      <c r="K603" s="215"/>
      <c r="L603" s="45" t="str">
        <f t="shared" si="1"/>
        <v/>
      </c>
      <c r="M603" s="46" t="str">
        <f>IFERROR(__xludf.DUMMYFUNCTION("IF(Account!$F603&lt;&gt;"""", VALUE(REGEXREPLACE($I603, ""\,"", ""."")), """")"),"")</f>
        <v/>
      </c>
      <c r="N603" s="47" t="str">
        <f>IF(Account!$F603&lt;&gt;"", DATEVALUE(MID($A603,4,3) &amp; LEFT($A603,3) &amp; RIGHT($A603,4)) + TIMEVALUE($B603), "")</f>
        <v/>
      </c>
      <c r="O603" s="48" t="str">
        <f>IF(Account!$F603&lt;&gt;"", DATEVALUE(MID($A603,4,3) &amp; LEFT($A603,3) &amp; RIGHT($A603,4)), "")</f>
        <v/>
      </c>
      <c r="P603" s="49" t="str">
        <f>IFERROR(VLOOKUP($Q603,Selection!$F:$G,2,false))</f>
        <v/>
      </c>
      <c r="Q603" s="50" t="str">
        <f>IF(AND($X603="change",$H603="EUR"),IF(AND($Z603="Crédit",$N603=$N604),$Q604,IF(AND($Z603="Débit",$N603=$N602),$Q602)),IF(OR(AND(OR($E603&lt;&gt;"",$L603=""),$M603&lt;&gt;0),$A603=""),IFERROR(VLOOKUP($E603,Selection!$E:$F,2,false)),IFERROR(VLOOKUP(SUBSTITUTE($I603,"-","",1),$K604:$Q1119,7,false),VLOOKUP($K603,$K604:$Q1119,7,false))))</f>
        <v/>
      </c>
      <c r="R603" s="49" t="str">
        <f t="shared" si="2"/>
        <v/>
      </c>
      <c r="S603" s="51" t="str">
        <f t="shared" si="3"/>
        <v/>
      </c>
      <c r="T603" s="52" t="str">
        <f t="shared" si="4"/>
        <v/>
      </c>
      <c r="U603" s="46" t="str">
        <f t="shared" si="5"/>
        <v/>
      </c>
      <c r="V603" s="53" t="str">
        <f>IFERROR(__xludf.DUMMYFUNCTION(" IF(Account!$F603&lt;&gt;"""", SPLIT(Account!$F603, "" ""), """")"),"")</f>
        <v/>
      </c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</row>
    <row r="604">
      <c r="A604" s="215"/>
      <c r="B604" s="215"/>
      <c r="C604" s="215"/>
      <c r="D604" s="215"/>
      <c r="E604" s="215"/>
      <c r="F604" s="373"/>
      <c r="G604" s="215"/>
      <c r="H604" s="215"/>
      <c r="I604" s="215"/>
      <c r="J604" s="215"/>
      <c r="K604" s="215"/>
      <c r="L604" s="45" t="str">
        <f t="shared" si="1"/>
        <v/>
      </c>
      <c r="M604" s="46" t="str">
        <f>IFERROR(__xludf.DUMMYFUNCTION("IF(Account!$F604&lt;&gt;"""", VALUE(REGEXREPLACE($I604, ""\,"", ""."")), """")"),"")</f>
        <v/>
      </c>
      <c r="N604" s="47" t="str">
        <f>IF(Account!$F604&lt;&gt;"", DATEVALUE(MID($A604,4,3) &amp; LEFT($A604,3) &amp; RIGHT($A604,4)) + TIMEVALUE($B604), "")</f>
        <v/>
      </c>
      <c r="O604" s="48" t="str">
        <f>IF(Account!$F604&lt;&gt;"", DATEVALUE(MID($A604,4,3) &amp; LEFT($A604,3) &amp; RIGHT($A604,4)), "")</f>
        <v/>
      </c>
      <c r="P604" s="49" t="str">
        <f>IFERROR(VLOOKUP($Q604,Selection!$F:$G,2,false))</f>
        <v/>
      </c>
      <c r="Q604" s="50" t="str">
        <f>IF(AND($X604="change",$H604="EUR"),IF(AND($Z604="Crédit",$N604=$N605),$Q605,IF(AND($Z604="Débit",$N604=$N603),$Q603)),IF(OR(AND(OR($E604&lt;&gt;"",$L604=""),$M604&lt;&gt;0),$A604=""),IFERROR(VLOOKUP($E604,Selection!$E:$F,2,false)),IFERROR(VLOOKUP(SUBSTITUTE($I604,"-","",1),$K605:$Q1119,7,false),VLOOKUP($K604,$K605:$Q1119,7,false))))</f>
        <v/>
      </c>
      <c r="R604" s="49" t="str">
        <f t="shared" si="2"/>
        <v/>
      </c>
      <c r="S604" s="51" t="str">
        <f t="shared" si="3"/>
        <v/>
      </c>
      <c r="T604" s="52" t="str">
        <f t="shared" si="4"/>
        <v/>
      </c>
      <c r="U604" s="46" t="str">
        <f t="shared" si="5"/>
        <v/>
      </c>
      <c r="V604" s="53" t="str">
        <f>IFERROR(__xludf.DUMMYFUNCTION(" IF(Account!$F604&lt;&gt;"""", SPLIT(Account!$F604, "" ""), """")"),"")</f>
        <v/>
      </c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</row>
    <row r="605">
      <c r="A605" s="215"/>
      <c r="B605" s="215"/>
      <c r="C605" s="215"/>
      <c r="D605" s="215"/>
      <c r="E605" s="215"/>
      <c r="F605" s="373"/>
      <c r="G605" s="215"/>
      <c r="H605" s="215"/>
      <c r="I605" s="215"/>
      <c r="J605" s="215"/>
      <c r="K605" s="215"/>
      <c r="L605" s="45" t="str">
        <f t="shared" si="1"/>
        <v/>
      </c>
      <c r="M605" s="46" t="str">
        <f>IFERROR(__xludf.DUMMYFUNCTION("IF(Account!$F605&lt;&gt;"""", VALUE(REGEXREPLACE($I605, ""\,"", ""."")), """")"),"")</f>
        <v/>
      </c>
      <c r="N605" s="47" t="str">
        <f>IF(Account!$F605&lt;&gt;"", DATEVALUE(MID($A605,4,3) &amp; LEFT($A605,3) &amp; RIGHT($A605,4)) + TIMEVALUE($B605), "")</f>
        <v/>
      </c>
      <c r="O605" s="48" t="str">
        <f>IF(Account!$F605&lt;&gt;"", DATEVALUE(MID($A605,4,3) &amp; LEFT($A605,3) &amp; RIGHT($A605,4)), "")</f>
        <v/>
      </c>
      <c r="P605" s="49" t="str">
        <f>IFERROR(VLOOKUP($Q605,Selection!$F:$G,2,false))</f>
        <v/>
      </c>
      <c r="Q605" s="50" t="str">
        <f>IF(AND($X605="change",$H605="EUR"),IF(AND($Z605="Crédit",$N605=$N606),$Q606,IF(AND($Z605="Débit",$N605=$N604),$Q604)),IF(OR(AND(OR($E605&lt;&gt;"",$L605=""),$M605&lt;&gt;0),$A605=""),IFERROR(VLOOKUP($E605,Selection!$E:$F,2,false)),IFERROR(VLOOKUP(SUBSTITUTE($I605,"-","",1),$K606:$Q1119,7,false),VLOOKUP($K605,$K606:$Q1119,7,false))))</f>
        <v/>
      </c>
      <c r="R605" s="49" t="str">
        <f t="shared" si="2"/>
        <v/>
      </c>
      <c r="S605" s="51" t="str">
        <f t="shared" si="3"/>
        <v/>
      </c>
      <c r="T605" s="52" t="str">
        <f t="shared" si="4"/>
        <v/>
      </c>
      <c r="U605" s="46" t="str">
        <f t="shared" si="5"/>
        <v/>
      </c>
      <c r="V605" s="53" t="str">
        <f>IFERROR(__xludf.DUMMYFUNCTION(" IF(Account!$F605&lt;&gt;"""", SPLIT(Account!$F605, "" ""), """")"),"")</f>
        <v/>
      </c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</row>
    <row r="606">
      <c r="A606" s="215"/>
      <c r="B606" s="215"/>
      <c r="C606" s="215"/>
      <c r="D606" s="215"/>
      <c r="E606" s="215"/>
      <c r="F606" s="373"/>
      <c r="G606" s="215"/>
      <c r="H606" s="215"/>
      <c r="I606" s="215"/>
      <c r="J606" s="215"/>
      <c r="K606" s="215"/>
      <c r="L606" s="45" t="str">
        <f t="shared" si="1"/>
        <v/>
      </c>
      <c r="M606" s="46" t="str">
        <f>IFERROR(__xludf.DUMMYFUNCTION("IF(Account!$F606&lt;&gt;"""", VALUE(REGEXREPLACE($I606, ""\,"", ""."")), """")"),"")</f>
        <v/>
      </c>
      <c r="N606" s="47" t="str">
        <f>IF(Account!$F606&lt;&gt;"", DATEVALUE(MID($A606,4,3) &amp; LEFT($A606,3) &amp; RIGHT($A606,4)) + TIMEVALUE($B606), "")</f>
        <v/>
      </c>
      <c r="O606" s="48" t="str">
        <f>IF(Account!$F606&lt;&gt;"", DATEVALUE(MID($A606,4,3) &amp; LEFT($A606,3) &amp; RIGHT($A606,4)), "")</f>
        <v/>
      </c>
      <c r="P606" s="49" t="str">
        <f>IFERROR(VLOOKUP($Q606,Selection!$F:$G,2,false))</f>
        <v/>
      </c>
      <c r="Q606" s="50" t="str">
        <f>IF(AND($X606="change",$H606="EUR"),IF(AND($Z606="Crédit",$N606=$N607),$Q607,IF(AND($Z606="Débit",$N606=$N605),$Q605)),IF(OR(AND(OR($E606&lt;&gt;"",$L606=""),$M606&lt;&gt;0),$A606=""),IFERROR(VLOOKUP($E606,Selection!$E:$F,2,false)),IFERROR(VLOOKUP(SUBSTITUTE($I606,"-","",1),$K607:$Q1119,7,false),VLOOKUP($K606,$K607:$Q1119,7,false))))</f>
        <v/>
      </c>
      <c r="R606" s="49" t="str">
        <f t="shared" si="2"/>
        <v/>
      </c>
      <c r="S606" s="51" t="str">
        <f t="shared" si="3"/>
        <v/>
      </c>
      <c r="T606" s="52" t="str">
        <f t="shared" si="4"/>
        <v/>
      </c>
      <c r="U606" s="46" t="str">
        <f t="shared" si="5"/>
        <v/>
      </c>
      <c r="V606" s="53" t="str">
        <f>IFERROR(__xludf.DUMMYFUNCTION(" IF(Account!$F606&lt;&gt;"""", SPLIT(Account!$F606, "" ""), """")"),"")</f>
        <v/>
      </c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</row>
    <row r="607">
      <c r="A607" s="215"/>
      <c r="B607" s="215"/>
      <c r="C607" s="215"/>
      <c r="D607" s="215"/>
      <c r="E607" s="215"/>
      <c r="F607" s="373"/>
      <c r="G607" s="215"/>
      <c r="H607" s="215"/>
      <c r="I607" s="215"/>
      <c r="J607" s="215"/>
      <c r="K607" s="215"/>
      <c r="L607" s="45" t="str">
        <f t="shared" si="1"/>
        <v/>
      </c>
      <c r="M607" s="46" t="str">
        <f>IFERROR(__xludf.DUMMYFUNCTION("IF(Account!$F607&lt;&gt;"""", VALUE(REGEXREPLACE($I607, ""\,"", ""."")), """")"),"")</f>
        <v/>
      </c>
      <c r="N607" s="47" t="str">
        <f>IF(Account!$F607&lt;&gt;"", DATEVALUE(MID($A607,4,3) &amp; LEFT($A607,3) &amp; RIGHT($A607,4)) + TIMEVALUE($B607), "")</f>
        <v/>
      </c>
      <c r="O607" s="48" t="str">
        <f>IF(Account!$F607&lt;&gt;"", DATEVALUE(MID($A607,4,3) &amp; LEFT($A607,3) &amp; RIGHT($A607,4)), "")</f>
        <v/>
      </c>
      <c r="P607" s="49" t="str">
        <f>IFERROR(VLOOKUP($Q607,Selection!$F:$G,2,false))</f>
        <v/>
      </c>
      <c r="Q607" s="50" t="str">
        <f>IF(AND($X607="change",$H607="EUR"),IF(AND($Z607="Crédit",$N607=$N608),$Q608,IF(AND($Z607="Débit",$N607=$N606),$Q606)),IF(OR(AND(OR($E607&lt;&gt;"",$L607=""),$M607&lt;&gt;0),$A607=""),IFERROR(VLOOKUP($E607,Selection!$E:$F,2,false)),IFERROR(VLOOKUP(SUBSTITUTE($I607,"-","",1),$K608:$Q1119,7,false),VLOOKUP($K607,$K608:$Q1119,7,false))))</f>
        <v/>
      </c>
      <c r="R607" s="49" t="str">
        <f t="shared" si="2"/>
        <v/>
      </c>
      <c r="S607" s="51" t="str">
        <f t="shared" si="3"/>
        <v/>
      </c>
      <c r="T607" s="52" t="str">
        <f t="shared" si="4"/>
        <v/>
      </c>
      <c r="U607" s="46" t="str">
        <f t="shared" si="5"/>
        <v/>
      </c>
      <c r="V607" s="53" t="str">
        <f>IFERROR(__xludf.DUMMYFUNCTION(" IF(Account!$F607&lt;&gt;"""", SPLIT(Account!$F607, "" ""), """")"),"")</f>
        <v/>
      </c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</row>
    <row r="608">
      <c r="A608" s="215"/>
      <c r="B608" s="215"/>
      <c r="C608" s="215"/>
      <c r="D608" s="215"/>
      <c r="E608" s="215"/>
      <c r="F608" s="373"/>
      <c r="G608" s="215"/>
      <c r="H608" s="215"/>
      <c r="I608" s="215"/>
      <c r="J608" s="215"/>
      <c r="K608" s="215"/>
      <c r="L608" s="45" t="str">
        <f t="shared" si="1"/>
        <v/>
      </c>
      <c r="M608" s="46" t="str">
        <f>IFERROR(__xludf.DUMMYFUNCTION("IF(Account!$F608&lt;&gt;"""", VALUE(REGEXREPLACE($I608, ""\,"", ""."")), """")"),"")</f>
        <v/>
      </c>
      <c r="N608" s="47" t="str">
        <f>IF(Account!$F608&lt;&gt;"", DATEVALUE(MID($A608,4,3) &amp; LEFT($A608,3) &amp; RIGHT($A608,4)) + TIMEVALUE($B608), "")</f>
        <v/>
      </c>
      <c r="O608" s="48" t="str">
        <f>IF(Account!$F608&lt;&gt;"", DATEVALUE(MID($A608,4,3) &amp; LEFT($A608,3) &amp; RIGHT($A608,4)), "")</f>
        <v/>
      </c>
      <c r="P608" s="49" t="str">
        <f>IFERROR(VLOOKUP($Q608,Selection!$F:$G,2,false))</f>
        <v/>
      </c>
      <c r="Q608" s="50" t="str">
        <f>IF(AND($X608="change",$H608="EUR"),IF(AND($Z608="Crédit",$N608=$N609),$Q609,IF(AND($Z608="Débit",$N608=$N607),$Q607)),IF(OR(AND(OR($E608&lt;&gt;"",$L608=""),$M608&lt;&gt;0),$A608=""),IFERROR(VLOOKUP($E608,Selection!$E:$F,2,false)),IFERROR(VLOOKUP(SUBSTITUTE($I608,"-","",1),$K609:$Q1119,7,false),VLOOKUP($K608,$K609:$Q1119,7,false))))</f>
        <v/>
      </c>
      <c r="R608" s="49" t="str">
        <f t="shared" si="2"/>
        <v/>
      </c>
      <c r="S608" s="51" t="str">
        <f t="shared" si="3"/>
        <v/>
      </c>
      <c r="T608" s="52" t="str">
        <f t="shared" si="4"/>
        <v/>
      </c>
      <c r="U608" s="46" t="str">
        <f t="shared" si="5"/>
        <v/>
      </c>
      <c r="V608" s="53" t="str">
        <f>IFERROR(__xludf.DUMMYFUNCTION(" IF(Account!$F608&lt;&gt;"""", SPLIT(Account!$F608, "" ""), """")"),"")</f>
        <v/>
      </c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</row>
    <row r="609">
      <c r="A609" s="215"/>
      <c r="B609" s="215"/>
      <c r="C609" s="215"/>
      <c r="D609" s="215"/>
      <c r="E609" s="215"/>
      <c r="F609" s="373"/>
      <c r="G609" s="215"/>
      <c r="H609" s="215"/>
      <c r="I609" s="215"/>
      <c r="J609" s="215"/>
      <c r="K609" s="215"/>
      <c r="L609" s="45" t="str">
        <f t="shared" si="1"/>
        <v/>
      </c>
      <c r="M609" s="46" t="str">
        <f>IFERROR(__xludf.DUMMYFUNCTION("IF(Account!$F609&lt;&gt;"""", VALUE(REGEXREPLACE($I609, ""\,"", ""."")), """")"),"")</f>
        <v/>
      </c>
      <c r="N609" s="47" t="str">
        <f>IF(Account!$F609&lt;&gt;"", DATEVALUE(MID($A609,4,3) &amp; LEFT($A609,3) &amp; RIGHT($A609,4)) + TIMEVALUE($B609), "")</f>
        <v/>
      </c>
      <c r="O609" s="48" t="str">
        <f>IF(Account!$F609&lt;&gt;"", DATEVALUE(MID($A609,4,3) &amp; LEFT($A609,3) &amp; RIGHT($A609,4)), "")</f>
        <v/>
      </c>
      <c r="P609" s="49" t="str">
        <f>IFERROR(VLOOKUP($Q609,Selection!$F:$G,2,false))</f>
        <v/>
      </c>
      <c r="Q609" s="50" t="str">
        <f>IF(AND($X609="change",$H609="EUR"),IF(AND($Z609="Crédit",$N609=$N610),$Q610,IF(AND($Z609="Débit",$N609=$N608),$Q608)),IF(OR(AND(OR($E609&lt;&gt;"",$L609=""),$M609&lt;&gt;0),$A609=""),IFERROR(VLOOKUP($E609,Selection!$E:$F,2,false)),IFERROR(VLOOKUP(SUBSTITUTE($I609,"-","",1),$K610:$Q1119,7,false),VLOOKUP($K609,$K610:$Q1119,7,false))))</f>
        <v/>
      </c>
      <c r="R609" s="49" t="str">
        <f t="shared" si="2"/>
        <v/>
      </c>
      <c r="S609" s="51" t="str">
        <f t="shared" si="3"/>
        <v/>
      </c>
      <c r="T609" s="52" t="str">
        <f t="shared" si="4"/>
        <v/>
      </c>
      <c r="U609" s="46" t="str">
        <f t="shared" si="5"/>
        <v/>
      </c>
      <c r="V609" s="53" t="str">
        <f>IFERROR(__xludf.DUMMYFUNCTION(" IF(Account!$F609&lt;&gt;"""", SPLIT(Account!$F609, "" ""), """")"),"")</f>
        <v/>
      </c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</row>
    <row r="610">
      <c r="A610" s="215"/>
      <c r="B610" s="215"/>
      <c r="C610" s="215"/>
      <c r="D610" s="215"/>
      <c r="E610" s="215"/>
      <c r="F610" s="373"/>
      <c r="G610" s="215"/>
      <c r="H610" s="215"/>
      <c r="I610" s="215"/>
      <c r="J610" s="215"/>
      <c r="K610" s="215"/>
      <c r="L610" s="45" t="str">
        <f t="shared" si="1"/>
        <v/>
      </c>
      <c r="M610" s="46" t="str">
        <f>IFERROR(__xludf.DUMMYFUNCTION("IF(Account!$F610&lt;&gt;"""", VALUE(REGEXREPLACE($I610, ""\,"", ""."")), """")"),"")</f>
        <v/>
      </c>
      <c r="N610" s="47" t="str">
        <f>IF(Account!$F610&lt;&gt;"", DATEVALUE(MID($A610,4,3) &amp; LEFT($A610,3) &amp; RIGHT($A610,4)) + TIMEVALUE($B610), "")</f>
        <v/>
      </c>
      <c r="O610" s="48" t="str">
        <f>IF(Account!$F610&lt;&gt;"", DATEVALUE(MID($A610,4,3) &amp; LEFT($A610,3) &amp; RIGHT($A610,4)), "")</f>
        <v/>
      </c>
      <c r="P610" s="49" t="str">
        <f>IFERROR(VLOOKUP($Q610,Selection!$F:$G,2,false))</f>
        <v/>
      </c>
      <c r="Q610" s="50" t="str">
        <f>IF(AND($X610="change",$H610="EUR"),IF(AND($Z610="Crédit",$N610=$N611),$Q611,IF(AND($Z610="Débit",$N610=$N609),$Q609)),IF(OR(AND(OR($E610&lt;&gt;"",$L610=""),$M610&lt;&gt;0),$A610=""),IFERROR(VLOOKUP($E610,Selection!$E:$F,2,false)),IFERROR(VLOOKUP(SUBSTITUTE($I610,"-","",1),$K611:$Q1119,7,false),VLOOKUP($K610,$K611:$Q1119,7,false))))</f>
        <v/>
      </c>
      <c r="R610" s="49" t="str">
        <f t="shared" si="2"/>
        <v/>
      </c>
      <c r="S610" s="51" t="str">
        <f t="shared" si="3"/>
        <v/>
      </c>
      <c r="T610" s="52" t="str">
        <f t="shared" si="4"/>
        <v/>
      </c>
      <c r="U610" s="46" t="str">
        <f t="shared" si="5"/>
        <v/>
      </c>
      <c r="V610" s="53" t="str">
        <f>IFERROR(__xludf.DUMMYFUNCTION(" IF(Account!$F610&lt;&gt;"""", SPLIT(Account!$F610, "" ""), """")"),"")</f>
        <v/>
      </c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</row>
    <row r="611">
      <c r="A611" s="215"/>
      <c r="B611" s="215"/>
      <c r="C611" s="215"/>
      <c r="D611" s="215"/>
      <c r="E611" s="215"/>
      <c r="F611" s="373"/>
      <c r="G611" s="215"/>
      <c r="H611" s="215"/>
      <c r="I611" s="215"/>
      <c r="J611" s="215"/>
      <c r="K611" s="215"/>
      <c r="L611" s="45" t="str">
        <f t="shared" si="1"/>
        <v/>
      </c>
      <c r="M611" s="46" t="str">
        <f>IFERROR(__xludf.DUMMYFUNCTION("IF(Account!$F611&lt;&gt;"""", VALUE(REGEXREPLACE($I611, ""\,"", ""."")), """")"),"")</f>
        <v/>
      </c>
      <c r="N611" s="47" t="str">
        <f>IF(Account!$F611&lt;&gt;"", DATEVALUE(MID($A611,4,3) &amp; LEFT($A611,3) &amp; RIGHT($A611,4)) + TIMEVALUE($B611), "")</f>
        <v/>
      </c>
      <c r="O611" s="48" t="str">
        <f>IF(Account!$F611&lt;&gt;"", DATEVALUE(MID($A611,4,3) &amp; LEFT($A611,3) &amp; RIGHT($A611,4)), "")</f>
        <v/>
      </c>
      <c r="P611" s="49" t="str">
        <f>IFERROR(VLOOKUP($Q611,Selection!$F:$G,2,false))</f>
        <v/>
      </c>
      <c r="Q611" s="50" t="str">
        <f>IF(AND($X611="change",$H611="EUR"),IF(AND($Z611="Crédit",$N611=$N612),$Q612,IF(AND($Z611="Débit",$N611=$N610),$Q610)),IF(OR(AND(OR($E611&lt;&gt;"",$L611=""),$M611&lt;&gt;0),$A611=""),IFERROR(VLOOKUP($E611,Selection!$E:$F,2,false)),IFERROR(VLOOKUP(SUBSTITUTE($I611,"-","",1),$K612:$Q1119,7,false),VLOOKUP($K611,$K612:$Q1119,7,false))))</f>
        <v/>
      </c>
      <c r="R611" s="49" t="str">
        <f t="shared" si="2"/>
        <v/>
      </c>
      <c r="S611" s="51" t="str">
        <f t="shared" si="3"/>
        <v/>
      </c>
      <c r="T611" s="52" t="str">
        <f t="shared" si="4"/>
        <v/>
      </c>
      <c r="U611" s="46" t="str">
        <f t="shared" si="5"/>
        <v/>
      </c>
      <c r="V611" s="53" t="str">
        <f>IFERROR(__xludf.DUMMYFUNCTION(" IF(Account!$F611&lt;&gt;"""", SPLIT(Account!$F611, "" ""), """")"),"")</f>
        <v/>
      </c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</row>
    <row r="612">
      <c r="A612" s="215"/>
      <c r="B612" s="215"/>
      <c r="C612" s="215"/>
      <c r="D612" s="215"/>
      <c r="E612" s="215"/>
      <c r="F612" s="373"/>
      <c r="G612" s="215"/>
      <c r="H612" s="215"/>
      <c r="I612" s="215"/>
      <c r="J612" s="215"/>
      <c r="K612" s="215"/>
      <c r="L612" s="45" t="str">
        <f t="shared" si="1"/>
        <v/>
      </c>
      <c r="M612" s="46" t="str">
        <f>IFERROR(__xludf.DUMMYFUNCTION("IF(Account!$F612&lt;&gt;"""", VALUE(REGEXREPLACE($I612, ""\,"", ""."")), """")"),"")</f>
        <v/>
      </c>
      <c r="N612" s="47" t="str">
        <f>IF(Account!$F612&lt;&gt;"", DATEVALUE(MID($A612,4,3) &amp; LEFT($A612,3) &amp; RIGHT($A612,4)) + TIMEVALUE($B612), "")</f>
        <v/>
      </c>
      <c r="O612" s="48" t="str">
        <f>IF(Account!$F612&lt;&gt;"", DATEVALUE(MID($A612,4,3) &amp; LEFT($A612,3) &amp; RIGHT($A612,4)), "")</f>
        <v/>
      </c>
      <c r="P612" s="49" t="str">
        <f>IFERROR(VLOOKUP($Q612,Selection!$F:$G,2,false))</f>
        <v/>
      </c>
      <c r="Q612" s="50" t="str">
        <f>IF(AND($X612="change",$H612="EUR"),IF(AND($Z612="Crédit",$N612=$N613),$Q613,IF(AND($Z612="Débit",$N612=$N611),$Q611)),IF(OR(AND(OR($E612&lt;&gt;"",$L612=""),$M612&lt;&gt;0),$A612=""),IFERROR(VLOOKUP($E612,Selection!$E:$F,2,false)),IFERROR(VLOOKUP(SUBSTITUTE($I612,"-","",1),$K613:$Q1119,7,false),VLOOKUP($K612,$K613:$Q1119,7,false))))</f>
        <v/>
      </c>
      <c r="R612" s="49" t="str">
        <f t="shared" si="2"/>
        <v/>
      </c>
      <c r="S612" s="51" t="str">
        <f t="shared" si="3"/>
        <v/>
      </c>
      <c r="T612" s="52" t="str">
        <f t="shared" si="4"/>
        <v/>
      </c>
      <c r="U612" s="46" t="str">
        <f t="shared" si="5"/>
        <v/>
      </c>
      <c r="V612" s="53" t="str">
        <f>IFERROR(__xludf.DUMMYFUNCTION(" IF(Account!$F612&lt;&gt;"""", SPLIT(Account!$F612, "" ""), """")"),"")</f>
        <v/>
      </c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</row>
    <row r="613">
      <c r="A613" s="215"/>
      <c r="B613" s="215"/>
      <c r="C613" s="215"/>
      <c r="D613" s="215"/>
      <c r="E613" s="215"/>
      <c r="F613" s="373"/>
      <c r="G613" s="215"/>
      <c r="H613" s="215"/>
      <c r="I613" s="215"/>
      <c r="J613" s="215"/>
      <c r="K613" s="215"/>
      <c r="L613" s="45" t="str">
        <f t="shared" si="1"/>
        <v/>
      </c>
      <c r="M613" s="46" t="str">
        <f>IFERROR(__xludf.DUMMYFUNCTION("IF(Account!$F613&lt;&gt;"""", VALUE(REGEXREPLACE($I613, ""\,"", ""."")), """")"),"")</f>
        <v/>
      </c>
      <c r="N613" s="47" t="str">
        <f>IF(Account!$F613&lt;&gt;"", DATEVALUE(MID($A613,4,3) &amp; LEFT($A613,3) &amp; RIGHT($A613,4)) + TIMEVALUE($B613), "")</f>
        <v/>
      </c>
      <c r="O613" s="48" t="str">
        <f>IF(Account!$F613&lt;&gt;"", DATEVALUE(MID($A613,4,3) &amp; LEFT($A613,3) &amp; RIGHT($A613,4)), "")</f>
        <v/>
      </c>
      <c r="P613" s="49" t="str">
        <f>IFERROR(VLOOKUP($Q613,Selection!$F:$G,2,false))</f>
        <v/>
      </c>
      <c r="Q613" s="50" t="str">
        <f>IF(AND($X613="change",$H613="EUR"),IF(AND($Z613="Crédit",$N613=$N614),$Q614,IF(AND($Z613="Débit",$N613=$N612),$Q612)),IF(OR(AND(OR($E613&lt;&gt;"",$L613=""),$M613&lt;&gt;0),$A613=""),IFERROR(VLOOKUP($E613,Selection!$E:$F,2,false)),IFERROR(VLOOKUP(SUBSTITUTE($I613,"-","",1),$K614:$Q1119,7,false),VLOOKUP($K613,$K614:$Q1119,7,false))))</f>
        <v/>
      </c>
      <c r="R613" s="49" t="str">
        <f t="shared" si="2"/>
        <v/>
      </c>
      <c r="S613" s="51" t="str">
        <f t="shared" si="3"/>
        <v/>
      </c>
      <c r="T613" s="52" t="str">
        <f t="shared" si="4"/>
        <v/>
      </c>
      <c r="U613" s="46" t="str">
        <f t="shared" si="5"/>
        <v/>
      </c>
      <c r="V613" s="53" t="str">
        <f>IFERROR(__xludf.DUMMYFUNCTION(" IF(Account!$F613&lt;&gt;"""", SPLIT(Account!$F613, "" ""), """")"),"")</f>
        <v/>
      </c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</row>
    <row r="614">
      <c r="A614" s="215"/>
      <c r="B614" s="215"/>
      <c r="C614" s="215"/>
      <c r="D614" s="215"/>
      <c r="E614" s="215"/>
      <c r="F614" s="373"/>
      <c r="G614" s="215"/>
      <c r="H614" s="215"/>
      <c r="I614" s="215"/>
      <c r="J614" s="215"/>
      <c r="K614" s="215"/>
      <c r="L614" s="45" t="str">
        <f t="shared" si="1"/>
        <v/>
      </c>
      <c r="M614" s="46" t="str">
        <f>IFERROR(__xludf.DUMMYFUNCTION("IF(Account!$F614&lt;&gt;"""", VALUE(REGEXREPLACE($I614, ""\,"", ""."")), """")"),"")</f>
        <v/>
      </c>
      <c r="N614" s="47" t="str">
        <f>IF(Account!$F614&lt;&gt;"", DATEVALUE(MID($A614,4,3) &amp; LEFT($A614,3) &amp; RIGHT($A614,4)) + TIMEVALUE($B614), "")</f>
        <v/>
      </c>
      <c r="O614" s="48" t="str">
        <f>IF(Account!$F614&lt;&gt;"", DATEVALUE(MID($A614,4,3) &amp; LEFT($A614,3) &amp; RIGHT($A614,4)), "")</f>
        <v/>
      </c>
      <c r="P614" s="49" t="str">
        <f>IFERROR(VLOOKUP($Q614,Selection!$F:$G,2,false))</f>
        <v/>
      </c>
      <c r="Q614" s="50" t="str">
        <f>IF(AND($X614="change",$H614="EUR"),IF(AND($Z614="Crédit",$N614=$N615),$Q615,IF(AND($Z614="Débit",$N614=$N613),$Q613)),IF(OR(AND(OR($E614&lt;&gt;"",$L614=""),$M614&lt;&gt;0),$A614=""),IFERROR(VLOOKUP($E614,Selection!$E:$F,2,false)),IFERROR(VLOOKUP(SUBSTITUTE($I614,"-","",1),$K615:$Q1119,7,false),VLOOKUP($K614,$K615:$Q1119,7,false))))</f>
        <v/>
      </c>
      <c r="R614" s="49" t="str">
        <f t="shared" si="2"/>
        <v/>
      </c>
      <c r="S614" s="51" t="str">
        <f t="shared" si="3"/>
        <v/>
      </c>
      <c r="T614" s="52" t="str">
        <f t="shared" si="4"/>
        <v/>
      </c>
      <c r="U614" s="46" t="str">
        <f t="shared" si="5"/>
        <v/>
      </c>
      <c r="V614" s="53" t="str">
        <f>IFERROR(__xludf.DUMMYFUNCTION(" IF(Account!$F614&lt;&gt;"""", SPLIT(Account!$F614, "" ""), """")"),"")</f>
        <v/>
      </c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</row>
    <row r="615">
      <c r="A615" s="215"/>
      <c r="B615" s="215"/>
      <c r="C615" s="215"/>
      <c r="D615" s="215"/>
      <c r="E615" s="215"/>
      <c r="F615" s="373"/>
      <c r="G615" s="215"/>
      <c r="H615" s="215"/>
      <c r="I615" s="215"/>
      <c r="J615" s="215"/>
      <c r="K615" s="215"/>
      <c r="L615" s="45" t="str">
        <f t="shared" si="1"/>
        <v/>
      </c>
      <c r="M615" s="46" t="str">
        <f>IFERROR(__xludf.DUMMYFUNCTION("IF(Account!$F615&lt;&gt;"""", VALUE(REGEXREPLACE($I615, ""\,"", ""."")), """")"),"")</f>
        <v/>
      </c>
      <c r="N615" s="47" t="str">
        <f>IF(Account!$F615&lt;&gt;"", DATEVALUE(MID($A615,4,3) &amp; LEFT($A615,3) &amp; RIGHT($A615,4)) + TIMEVALUE($B615), "")</f>
        <v/>
      </c>
      <c r="O615" s="48" t="str">
        <f>IF(Account!$F615&lt;&gt;"", DATEVALUE(MID($A615,4,3) &amp; LEFT($A615,3) &amp; RIGHT($A615,4)), "")</f>
        <v/>
      </c>
      <c r="P615" s="49" t="str">
        <f>IFERROR(VLOOKUP($Q615,Selection!$F:$G,2,false))</f>
        <v/>
      </c>
      <c r="Q615" s="50" t="str">
        <f>IF(AND($X615="change",$H615="EUR"),IF(AND($Z615="Crédit",$N615=$N616),$Q616,IF(AND($Z615="Débit",$N615=$N614),$Q614)),IF(OR(AND(OR($E615&lt;&gt;"",$L615=""),$M615&lt;&gt;0),$A615=""),IFERROR(VLOOKUP($E615,Selection!$E:$F,2,false)),IFERROR(VLOOKUP(SUBSTITUTE($I615,"-","",1),$K616:$Q1119,7,false),VLOOKUP($K615,$K616:$Q1119,7,false))))</f>
        <v/>
      </c>
      <c r="R615" s="49" t="str">
        <f t="shared" si="2"/>
        <v/>
      </c>
      <c r="S615" s="51" t="str">
        <f t="shared" si="3"/>
        <v/>
      </c>
      <c r="T615" s="52" t="str">
        <f t="shared" si="4"/>
        <v/>
      </c>
      <c r="U615" s="46" t="str">
        <f t="shared" si="5"/>
        <v/>
      </c>
      <c r="V615" s="53" t="str">
        <f>IFERROR(__xludf.DUMMYFUNCTION(" IF(Account!$F615&lt;&gt;"""", SPLIT(Account!$F615, "" ""), """")"),"")</f>
        <v/>
      </c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</row>
    <row r="616">
      <c r="A616" s="215"/>
      <c r="B616" s="215"/>
      <c r="C616" s="215"/>
      <c r="D616" s="215"/>
      <c r="E616" s="215"/>
      <c r="F616" s="373"/>
      <c r="G616" s="215"/>
      <c r="H616" s="215"/>
      <c r="I616" s="215"/>
      <c r="J616" s="215"/>
      <c r="K616" s="215"/>
      <c r="L616" s="45" t="str">
        <f t="shared" si="1"/>
        <v/>
      </c>
      <c r="M616" s="46" t="str">
        <f>IFERROR(__xludf.DUMMYFUNCTION("IF(Account!$F616&lt;&gt;"""", VALUE(REGEXREPLACE($I616, ""\,"", ""."")), """")"),"")</f>
        <v/>
      </c>
      <c r="N616" s="47" t="str">
        <f>IF(Account!$F616&lt;&gt;"", DATEVALUE(MID($A616,4,3) &amp; LEFT($A616,3) &amp; RIGHT($A616,4)) + TIMEVALUE($B616), "")</f>
        <v/>
      </c>
      <c r="O616" s="48" t="str">
        <f>IF(Account!$F616&lt;&gt;"", DATEVALUE(MID($A616,4,3) &amp; LEFT($A616,3) &amp; RIGHT($A616,4)), "")</f>
        <v/>
      </c>
      <c r="P616" s="49" t="str">
        <f>IFERROR(VLOOKUP($Q616,Selection!$F:$G,2,false))</f>
        <v/>
      </c>
      <c r="Q616" s="50" t="str">
        <f>IF(AND($X616="change",$H616="EUR"),IF(AND($Z616="Crédit",$N616=$N617),$Q617,IF(AND($Z616="Débit",$N616=$N615),$Q615)),IF(OR(AND(OR($E616&lt;&gt;"",$L616=""),$M616&lt;&gt;0),$A616=""),IFERROR(VLOOKUP($E616,Selection!$E:$F,2,false)),IFERROR(VLOOKUP(SUBSTITUTE($I616,"-","",1),$K617:$Q1119,7,false),VLOOKUP($K616,$K617:$Q1119,7,false))))</f>
        <v/>
      </c>
      <c r="R616" s="49" t="str">
        <f t="shared" si="2"/>
        <v/>
      </c>
      <c r="S616" s="51" t="str">
        <f t="shared" si="3"/>
        <v/>
      </c>
      <c r="T616" s="52" t="str">
        <f t="shared" si="4"/>
        <v/>
      </c>
      <c r="U616" s="46" t="str">
        <f t="shared" si="5"/>
        <v/>
      </c>
      <c r="V616" s="53" t="str">
        <f>IFERROR(__xludf.DUMMYFUNCTION(" IF(Account!$F616&lt;&gt;"""", SPLIT(Account!$F616, "" ""), """")"),"")</f>
        <v/>
      </c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</row>
    <row r="617">
      <c r="A617" s="215"/>
      <c r="B617" s="215"/>
      <c r="C617" s="215"/>
      <c r="D617" s="215"/>
      <c r="E617" s="215"/>
      <c r="F617" s="373"/>
      <c r="G617" s="215"/>
      <c r="H617" s="215"/>
      <c r="I617" s="215"/>
      <c r="J617" s="215"/>
      <c r="K617" s="215"/>
      <c r="L617" s="45" t="str">
        <f t="shared" si="1"/>
        <v/>
      </c>
      <c r="M617" s="46" t="str">
        <f>IFERROR(__xludf.DUMMYFUNCTION("IF(Account!$F617&lt;&gt;"""", VALUE(REGEXREPLACE($I617, ""\,"", ""."")), """")"),"")</f>
        <v/>
      </c>
      <c r="N617" s="47" t="str">
        <f>IF(Account!$F617&lt;&gt;"", DATEVALUE(MID($A617,4,3) &amp; LEFT($A617,3) &amp; RIGHT($A617,4)) + TIMEVALUE($B617), "")</f>
        <v/>
      </c>
      <c r="O617" s="48" t="str">
        <f>IF(Account!$F617&lt;&gt;"", DATEVALUE(MID($A617,4,3) &amp; LEFT($A617,3) &amp; RIGHT($A617,4)), "")</f>
        <v/>
      </c>
      <c r="P617" s="49" t="str">
        <f>IFERROR(VLOOKUP($Q617,Selection!$F:$G,2,false))</f>
        <v/>
      </c>
      <c r="Q617" s="50" t="str">
        <f>IF(AND($X617="change",$H617="EUR"),IF(AND($Z617="Crédit",$N617=$N618),$Q618,IF(AND($Z617="Débit",$N617=$N616),$Q616)),IF(OR(AND(OR($E617&lt;&gt;"",$L617=""),$M617&lt;&gt;0),$A617=""),IFERROR(VLOOKUP($E617,Selection!$E:$F,2,false)),IFERROR(VLOOKUP(SUBSTITUTE($I617,"-","",1),$K618:$Q1119,7,false),VLOOKUP($K617,$K618:$Q1119,7,false))))</f>
        <v/>
      </c>
      <c r="R617" s="49" t="str">
        <f t="shared" si="2"/>
        <v/>
      </c>
      <c r="S617" s="51" t="str">
        <f t="shared" si="3"/>
        <v/>
      </c>
      <c r="T617" s="52" t="str">
        <f t="shared" si="4"/>
        <v/>
      </c>
      <c r="U617" s="46" t="str">
        <f t="shared" si="5"/>
        <v/>
      </c>
      <c r="V617" s="53" t="str">
        <f>IFERROR(__xludf.DUMMYFUNCTION(" IF(Account!$F617&lt;&gt;"""", SPLIT(Account!$F617, "" ""), """")"),"")</f>
        <v/>
      </c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</row>
    <row r="618">
      <c r="A618" s="215"/>
      <c r="B618" s="215"/>
      <c r="C618" s="215"/>
      <c r="D618" s="215"/>
      <c r="E618" s="215"/>
      <c r="F618" s="373"/>
      <c r="G618" s="215"/>
      <c r="H618" s="215"/>
      <c r="I618" s="215"/>
      <c r="J618" s="215"/>
      <c r="K618" s="215"/>
      <c r="L618" s="45" t="str">
        <f t="shared" si="1"/>
        <v/>
      </c>
      <c r="M618" s="46" t="str">
        <f>IFERROR(__xludf.DUMMYFUNCTION("IF(Account!$F618&lt;&gt;"""", VALUE(REGEXREPLACE($I618, ""\,"", ""."")), """")"),"")</f>
        <v/>
      </c>
      <c r="N618" s="47" t="str">
        <f>IF(Account!$F618&lt;&gt;"", DATEVALUE(MID($A618,4,3) &amp; LEFT($A618,3) &amp; RIGHT($A618,4)) + TIMEVALUE($B618), "")</f>
        <v/>
      </c>
      <c r="O618" s="48" t="str">
        <f>IF(Account!$F618&lt;&gt;"", DATEVALUE(MID($A618,4,3) &amp; LEFT($A618,3) &amp; RIGHT($A618,4)), "")</f>
        <v/>
      </c>
      <c r="P618" s="49" t="str">
        <f>IFERROR(VLOOKUP($Q618,Selection!$F:$G,2,false))</f>
        <v/>
      </c>
      <c r="Q618" s="50" t="str">
        <f>IF(AND($X618="change",$H618="EUR"),IF(AND($Z618="Crédit",$N618=$N619),$Q619,IF(AND($Z618="Débit",$N618=$N617),$Q617)),IF(OR(AND(OR($E618&lt;&gt;"",$L618=""),$M618&lt;&gt;0),$A618=""),IFERROR(VLOOKUP($E618,Selection!$E:$F,2,false)),IFERROR(VLOOKUP(SUBSTITUTE($I618,"-","",1),$K619:$Q1119,7,false),VLOOKUP($K618,$K619:$Q1119,7,false))))</f>
        <v/>
      </c>
      <c r="R618" s="49" t="str">
        <f t="shared" si="2"/>
        <v/>
      </c>
      <c r="S618" s="51" t="str">
        <f t="shared" si="3"/>
        <v/>
      </c>
      <c r="T618" s="52" t="str">
        <f t="shared" si="4"/>
        <v/>
      </c>
      <c r="U618" s="46" t="str">
        <f t="shared" si="5"/>
        <v/>
      </c>
      <c r="V618" s="53" t="str">
        <f>IFERROR(__xludf.DUMMYFUNCTION(" IF(Account!$F618&lt;&gt;"""", SPLIT(Account!$F618, "" ""), """")"),"")</f>
        <v/>
      </c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</row>
    <row r="619">
      <c r="A619" s="215"/>
      <c r="B619" s="215"/>
      <c r="C619" s="215"/>
      <c r="D619" s="215"/>
      <c r="E619" s="215"/>
      <c r="F619" s="373"/>
      <c r="G619" s="215"/>
      <c r="H619" s="215"/>
      <c r="I619" s="215"/>
      <c r="J619" s="215"/>
      <c r="K619" s="215"/>
      <c r="L619" s="45" t="str">
        <f t="shared" si="1"/>
        <v/>
      </c>
      <c r="M619" s="46" t="str">
        <f>IFERROR(__xludf.DUMMYFUNCTION("IF(Account!$F619&lt;&gt;"""", VALUE(REGEXREPLACE($I619, ""\,"", ""."")), """")"),"")</f>
        <v/>
      </c>
      <c r="N619" s="47" t="str">
        <f>IF(Account!$F619&lt;&gt;"", DATEVALUE(MID($A619,4,3) &amp; LEFT($A619,3) &amp; RIGHT($A619,4)) + TIMEVALUE($B619), "")</f>
        <v/>
      </c>
      <c r="O619" s="48" t="str">
        <f>IF(Account!$F619&lt;&gt;"", DATEVALUE(MID($A619,4,3) &amp; LEFT($A619,3) &amp; RIGHT($A619,4)), "")</f>
        <v/>
      </c>
      <c r="P619" s="49" t="str">
        <f>IFERROR(VLOOKUP($Q619,Selection!$F:$G,2,false))</f>
        <v/>
      </c>
      <c r="Q619" s="50" t="str">
        <f>IF(AND($X619="change",$H619="EUR"),IF(AND($Z619="Crédit",$N619=$N620),$Q620,IF(AND($Z619="Débit",$N619=$N618),$Q618)),IF(OR(AND(OR($E619&lt;&gt;"",$L619=""),$M619&lt;&gt;0),$A619=""),IFERROR(VLOOKUP($E619,Selection!$E:$F,2,false)),IFERROR(VLOOKUP(SUBSTITUTE($I619,"-","",1),$K620:$Q1119,7,false),VLOOKUP($K619,$K620:$Q1119,7,false))))</f>
        <v/>
      </c>
      <c r="R619" s="49" t="str">
        <f t="shared" si="2"/>
        <v/>
      </c>
      <c r="S619" s="51" t="str">
        <f t="shared" si="3"/>
        <v/>
      </c>
      <c r="T619" s="52" t="str">
        <f t="shared" si="4"/>
        <v/>
      </c>
      <c r="U619" s="46" t="str">
        <f t="shared" si="5"/>
        <v/>
      </c>
      <c r="V619" s="53" t="str">
        <f>IFERROR(__xludf.DUMMYFUNCTION(" IF(Account!$F619&lt;&gt;"""", SPLIT(Account!$F619, "" ""), """")"),"")</f>
        <v/>
      </c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</row>
    <row r="620">
      <c r="A620" s="215"/>
      <c r="B620" s="215"/>
      <c r="C620" s="215"/>
      <c r="D620" s="215"/>
      <c r="E620" s="215"/>
      <c r="F620" s="373"/>
      <c r="G620" s="215"/>
      <c r="H620" s="215"/>
      <c r="I620" s="215"/>
      <c r="J620" s="215"/>
      <c r="K620" s="215"/>
      <c r="L620" s="45" t="str">
        <f t="shared" si="1"/>
        <v/>
      </c>
      <c r="M620" s="46" t="str">
        <f>IFERROR(__xludf.DUMMYFUNCTION("IF(Account!$F620&lt;&gt;"""", VALUE(REGEXREPLACE($I620, ""\,"", ""."")), """")"),"")</f>
        <v/>
      </c>
      <c r="N620" s="47" t="str">
        <f>IF(Account!$F620&lt;&gt;"", DATEVALUE(MID($A620,4,3) &amp; LEFT($A620,3) &amp; RIGHT($A620,4)) + TIMEVALUE($B620), "")</f>
        <v/>
      </c>
      <c r="O620" s="48" t="str">
        <f>IF(Account!$F620&lt;&gt;"", DATEVALUE(MID($A620,4,3) &amp; LEFT($A620,3) &amp; RIGHT($A620,4)), "")</f>
        <v/>
      </c>
      <c r="P620" s="49" t="str">
        <f>IFERROR(VLOOKUP($Q620,Selection!$F:$G,2,false))</f>
        <v/>
      </c>
      <c r="Q620" s="50" t="str">
        <f>IF(AND($X620="change",$H620="EUR"),IF(AND($Z620="Crédit",$N620=$N621),$Q621,IF(AND($Z620="Débit",$N620=$N619),$Q619)),IF(OR(AND(OR($E620&lt;&gt;"",$L620=""),$M620&lt;&gt;0),$A620=""),IFERROR(VLOOKUP($E620,Selection!$E:$F,2,false)),IFERROR(VLOOKUP(SUBSTITUTE($I620,"-","",1),$K621:$Q1119,7,false),VLOOKUP($K620,$K621:$Q1119,7,false))))</f>
        <v/>
      </c>
      <c r="R620" s="49" t="str">
        <f t="shared" si="2"/>
        <v/>
      </c>
      <c r="S620" s="51" t="str">
        <f t="shared" si="3"/>
        <v/>
      </c>
      <c r="T620" s="52" t="str">
        <f t="shared" si="4"/>
        <v/>
      </c>
      <c r="U620" s="46" t="str">
        <f t="shared" si="5"/>
        <v/>
      </c>
      <c r="V620" s="53" t="str">
        <f>IFERROR(__xludf.DUMMYFUNCTION(" IF(Account!$F620&lt;&gt;"""", SPLIT(Account!$F620, "" ""), """")"),"")</f>
        <v/>
      </c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</row>
    <row r="621">
      <c r="A621" s="215"/>
      <c r="B621" s="215"/>
      <c r="C621" s="215"/>
      <c r="D621" s="215"/>
      <c r="E621" s="215"/>
      <c r="F621" s="373"/>
      <c r="G621" s="215"/>
      <c r="H621" s="215"/>
      <c r="I621" s="215"/>
      <c r="J621" s="215"/>
      <c r="K621" s="215"/>
      <c r="L621" s="45" t="str">
        <f t="shared" si="1"/>
        <v/>
      </c>
      <c r="M621" s="46" t="str">
        <f>IFERROR(__xludf.DUMMYFUNCTION("IF(Account!$F621&lt;&gt;"""", VALUE(REGEXREPLACE($I621, ""\,"", ""."")), """")"),"")</f>
        <v/>
      </c>
      <c r="N621" s="47" t="str">
        <f>IF(Account!$F621&lt;&gt;"", DATEVALUE(MID($A621,4,3) &amp; LEFT($A621,3) &amp; RIGHT($A621,4)) + TIMEVALUE($B621), "")</f>
        <v/>
      </c>
      <c r="O621" s="48" t="str">
        <f>IF(Account!$F621&lt;&gt;"", DATEVALUE(MID($A621,4,3) &amp; LEFT($A621,3) &amp; RIGHT($A621,4)), "")</f>
        <v/>
      </c>
      <c r="P621" s="49" t="str">
        <f>IFERROR(VLOOKUP($Q621,Selection!$F:$G,2,false))</f>
        <v/>
      </c>
      <c r="Q621" s="50" t="str">
        <f>IF(AND($X621="change",$H621="EUR"),IF(AND($Z621="Crédit",$N621=$N622),$Q622,IF(AND($Z621="Débit",$N621=$N620),$Q620)),IF(OR(AND(OR($E621&lt;&gt;"",$L621=""),$M621&lt;&gt;0),$A621=""),IFERROR(VLOOKUP($E621,Selection!$E:$F,2,false)),IFERROR(VLOOKUP(SUBSTITUTE($I621,"-","",1),$K622:$Q1119,7,false),VLOOKUP($K621,$K622:$Q1119,7,false))))</f>
        <v/>
      </c>
      <c r="R621" s="49" t="str">
        <f t="shared" si="2"/>
        <v/>
      </c>
      <c r="S621" s="51" t="str">
        <f t="shared" si="3"/>
        <v/>
      </c>
      <c r="T621" s="52" t="str">
        <f t="shared" si="4"/>
        <v/>
      </c>
      <c r="U621" s="46" t="str">
        <f t="shared" si="5"/>
        <v/>
      </c>
      <c r="V621" s="53" t="str">
        <f>IFERROR(__xludf.DUMMYFUNCTION(" IF(Account!$F621&lt;&gt;"""", SPLIT(Account!$F621, "" ""), """")"),"")</f>
        <v/>
      </c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</row>
    <row r="622">
      <c r="A622" s="215"/>
      <c r="B622" s="215"/>
      <c r="C622" s="215"/>
      <c r="D622" s="215"/>
      <c r="E622" s="215"/>
      <c r="F622" s="373"/>
      <c r="G622" s="215"/>
      <c r="H622" s="215"/>
      <c r="I622" s="215"/>
      <c r="J622" s="215"/>
      <c r="K622" s="215"/>
      <c r="L622" s="45" t="str">
        <f t="shared" si="1"/>
        <v/>
      </c>
      <c r="M622" s="46" t="str">
        <f>IFERROR(__xludf.DUMMYFUNCTION("IF(Account!$F622&lt;&gt;"""", VALUE(REGEXREPLACE($I622, ""\,"", ""."")), """")"),"")</f>
        <v/>
      </c>
      <c r="N622" s="47" t="str">
        <f>IF(Account!$F622&lt;&gt;"", DATEVALUE(MID($A622,4,3) &amp; LEFT($A622,3) &amp; RIGHT($A622,4)) + TIMEVALUE($B622), "")</f>
        <v/>
      </c>
      <c r="O622" s="48" t="str">
        <f>IF(Account!$F622&lt;&gt;"", DATEVALUE(MID($A622,4,3) &amp; LEFT($A622,3) &amp; RIGHT($A622,4)), "")</f>
        <v/>
      </c>
      <c r="P622" s="49" t="str">
        <f>IFERROR(VLOOKUP($Q622,Selection!$F:$G,2,false))</f>
        <v/>
      </c>
      <c r="Q622" s="50" t="str">
        <f>IF(AND($X622="change",$H622="EUR"),IF(AND($Z622="Crédit",$N622=$N623),$Q623,IF(AND($Z622="Débit",$N622=$N621),$Q621)),IF(OR(AND(OR($E622&lt;&gt;"",$L622=""),$M622&lt;&gt;0),$A622=""),IFERROR(VLOOKUP($E622,Selection!$E:$F,2,false)),IFERROR(VLOOKUP(SUBSTITUTE($I622,"-","",1),$K623:$Q1119,7,false),VLOOKUP($K622,$K623:$Q1119,7,false))))</f>
        <v/>
      </c>
      <c r="R622" s="49" t="str">
        <f t="shared" si="2"/>
        <v/>
      </c>
      <c r="S622" s="51" t="str">
        <f t="shared" si="3"/>
        <v/>
      </c>
      <c r="T622" s="52" t="str">
        <f t="shared" si="4"/>
        <v/>
      </c>
      <c r="U622" s="46" t="str">
        <f t="shared" si="5"/>
        <v/>
      </c>
      <c r="V622" s="53" t="str">
        <f>IFERROR(__xludf.DUMMYFUNCTION(" IF(Account!$F622&lt;&gt;"""", SPLIT(Account!$F622, "" ""), """")"),"")</f>
        <v/>
      </c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</row>
    <row r="623">
      <c r="A623" s="215"/>
      <c r="B623" s="215"/>
      <c r="C623" s="215"/>
      <c r="D623" s="215"/>
      <c r="E623" s="215"/>
      <c r="F623" s="373"/>
      <c r="G623" s="215"/>
      <c r="H623" s="215"/>
      <c r="I623" s="215"/>
      <c r="J623" s="215"/>
      <c r="K623" s="215"/>
      <c r="L623" s="45" t="str">
        <f t="shared" si="1"/>
        <v/>
      </c>
      <c r="M623" s="46" t="str">
        <f>IFERROR(__xludf.DUMMYFUNCTION("IF(Account!$F623&lt;&gt;"""", VALUE(REGEXREPLACE($I623, ""\,"", ""."")), """")"),"")</f>
        <v/>
      </c>
      <c r="N623" s="47" t="str">
        <f>IF(Account!$F623&lt;&gt;"", DATEVALUE(MID($A623,4,3) &amp; LEFT($A623,3) &amp; RIGHT($A623,4)) + TIMEVALUE($B623), "")</f>
        <v/>
      </c>
      <c r="O623" s="48" t="str">
        <f>IF(Account!$F623&lt;&gt;"", DATEVALUE(MID($A623,4,3) &amp; LEFT($A623,3) &amp; RIGHT($A623,4)), "")</f>
        <v/>
      </c>
      <c r="P623" s="49" t="str">
        <f>IFERROR(VLOOKUP($Q623,Selection!$F:$G,2,false))</f>
        <v/>
      </c>
      <c r="Q623" s="50" t="str">
        <f>IF(AND($X623="change",$H623="EUR"),IF(AND($Z623="Crédit",$N623=$N624),$Q624,IF(AND($Z623="Débit",$N623=$N622),$Q622)),IF(OR(AND(OR($E623&lt;&gt;"",$L623=""),$M623&lt;&gt;0),$A623=""),IFERROR(VLOOKUP($E623,Selection!$E:$F,2,false)),IFERROR(VLOOKUP(SUBSTITUTE($I623,"-","",1),$K624:$Q1119,7,false),VLOOKUP($K623,$K624:$Q1119,7,false))))</f>
        <v/>
      </c>
      <c r="R623" s="49" t="str">
        <f t="shared" si="2"/>
        <v/>
      </c>
      <c r="S623" s="51" t="str">
        <f t="shared" si="3"/>
        <v/>
      </c>
      <c r="T623" s="52" t="str">
        <f t="shared" si="4"/>
        <v/>
      </c>
      <c r="U623" s="46" t="str">
        <f t="shared" si="5"/>
        <v/>
      </c>
      <c r="V623" s="53" t="str">
        <f>IFERROR(__xludf.DUMMYFUNCTION(" IF(Account!$F623&lt;&gt;"""", SPLIT(Account!$F623, "" ""), """")"),"")</f>
        <v/>
      </c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</row>
    <row r="624">
      <c r="A624" s="215"/>
      <c r="B624" s="215"/>
      <c r="C624" s="215"/>
      <c r="D624" s="215"/>
      <c r="E624" s="215"/>
      <c r="F624" s="373"/>
      <c r="G624" s="215"/>
      <c r="H624" s="215"/>
      <c r="I624" s="215"/>
      <c r="J624" s="215"/>
      <c r="K624" s="215"/>
      <c r="L624" s="45" t="str">
        <f t="shared" si="1"/>
        <v/>
      </c>
      <c r="M624" s="46" t="str">
        <f>IFERROR(__xludf.DUMMYFUNCTION("IF(Account!$F624&lt;&gt;"""", VALUE(REGEXREPLACE($I624, ""\,"", ""."")), """")"),"")</f>
        <v/>
      </c>
      <c r="N624" s="47" t="str">
        <f>IF(Account!$F624&lt;&gt;"", DATEVALUE(MID($A624,4,3) &amp; LEFT($A624,3) &amp; RIGHT($A624,4)) + TIMEVALUE($B624), "")</f>
        <v/>
      </c>
      <c r="O624" s="48" t="str">
        <f>IF(Account!$F624&lt;&gt;"", DATEVALUE(MID($A624,4,3) &amp; LEFT($A624,3) &amp; RIGHT($A624,4)), "")</f>
        <v/>
      </c>
      <c r="P624" s="49" t="str">
        <f>IFERROR(VLOOKUP($Q624,Selection!$F:$G,2,false))</f>
        <v/>
      </c>
      <c r="Q624" s="50" t="str">
        <f>IF(AND($X624="change",$H624="EUR"),IF(AND($Z624="Crédit",$N624=$N625),$Q625,IF(AND($Z624="Débit",$N624=$N623),$Q623)),IF(OR(AND(OR($E624&lt;&gt;"",$L624=""),$M624&lt;&gt;0),$A624=""),IFERROR(VLOOKUP($E624,Selection!$E:$F,2,false)),IFERROR(VLOOKUP(SUBSTITUTE($I624,"-","",1),$K625:$Q1119,7,false),VLOOKUP($K624,$K625:$Q1119,7,false))))</f>
        <v/>
      </c>
      <c r="R624" s="49" t="str">
        <f t="shared" si="2"/>
        <v/>
      </c>
      <c r="S624" s="51" t="str">
        <f t="shared" si="3"/>
        <v/>
      </c>
      <c r="T624" s="52" t="str">
        <f t="shared" si="4"/>
        <v/>
      </c>
      <c r="U624" s="46" t="str">
        <f t="shared" si="5"/>
        <v/>
      </c>
      <c r="V624" s="53" t="str">
        <f>IFERROR(__xludf.DUMMYFUNCTION(" IF(Account!$F624&lt;&gt;"""", SPLIT(Account!$F624, "" ""), """")"),"")</f>
        <v/>
      </c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</row>
    <row r="625">
      <c r="A625" s="215"/>
      <c r="B625" s="215"/>
      <c r="C625" s="215"/>
      <c r="D625" s="215"/>
      <c r="E625" s="215"/>
      <c r="F625" s="373"/>
      <c r="G625" s="215"/>
      <c r="H625" s="215"/>
      <c r="I625" s="215"/>
      <c r="J625" s="215"/>
      <c r="K625" s="215"/>
      <c r="L625" s="45" t="str">
        <f t="shared" si="1"/>
        <v/>
      </c>
      <c r="M625" s="46" t="str">
        <f>IFERROR(__xludf.DUMMYFUNCTION("IF(Account!$F625&lt;&gt;"""", VALUE(REGEXREPLACE($I625, ""\,"", ""."")), """")"),"")</f>
        <v/>
      </c>
      <c r="N625" s="47" t="str">
        <f>IF(Account!$F625&lt;&gt;"", DATEVALUE(MID($A625,4,3) &amp; LEFT($A625,3) &amp; RIGHT($A625,4)) + TIMEVALUE($B625), "")</f>
        <v/>
      </c>
      <c r="O625" s="48" t="str">
        <f>IF(Account!$F625&lt;&gt;"", DATEVALUE(MID($A625,4,3) &amp; LEFT($A625,3) &amp; RIGHT($A625,4)), "")</f>
        <v/>
      </c>
      <c r="P625" s="49" t="str">
        <f>IFERROR(VLOOKUP($Q625,Selection!$F:$G,2,false))</f>
        <v/>
      </c>
      <c r="Q625" s="50" t="str">
        <f>IF(AND($X625="change",$H625="EUR"),IF(AND($Z625="Crédit",$N625=$N626),$Q626,IF(AND($Z625="Débit",$N625=$N624),$Q624)),IF(OR(AND(OR($E625&lt;&gt;"",$L625=""),$M625&lt;&gt;0),$A625=""),IFERROR(VLOOKUP($E625,Selection!$E:$F,2,false)),IFERROR(VLOOKUP(SUBSTITUTE($I625,"-","",1),$K626:$Q1119,7,false),VLOOKUP($K625,$K626:$Q1119,7,false))))</f>
        <v/>
      </c>
      <c r="R625" s="49" t="str">
        <f t="shared" si="2"/>
        <v/>
      </c>
      <c r="S625" s="51" t="str">
        <f t="shared" si="3"/>
        <v/>
      </c>
      <c r="T625" s="52" t="str">
        <f t="shared" si="4"/>
        <v/>
      </c>
      <c r="U625" s="46" t="str">
        <f t="shared" si="5"/>
        <v/>
      </c>
      <c r="V625" s="53" t="str">
        <f>IFERROR(__xludf.DUMMYFUNCTION(" IF(Account!$F625&lt;&gt;"""", SPLIT(Account!$F625, "" ""), """")"),"")</f>
        <v/>
      </c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</row>
    <row r="626">
      <c r="A626" s="215"/>
      <c r="B626" s="215"/>
      <c r="C626" s="215"/>
      <c r="D626" s="215"/>
      <c r="E626" s="215"/>
      <c r="F626" s="373"/>
      <c r="G626" s="215"/>
      <c r="H626" s="215"/>
      <c r="I626" s="215"/>
      <c r="J626" s="215"/>
      <c r="K626" s="215"/>
      <c r="L626" s="45" t="str">
        <f t="shared" si="1"/>
        <v/>
      </c>
      <c r="M626" s="46" t="str">
        <f>IFERROR(__xludf.DUMMYFUNCTION("IF(Account!$F626&lt;&gt;"""", VALUE(REGEXREPLACE($I626, ""\,"", ""."")), """")"),"")</f>
        <v/>
      </c>
      <c r="N626" s="47" t="str">
        <f>IF(Account!$F626&lt;&gt;"", DATEVALUE(MID($A626,4,3) &amp; LEFT($A626,3) &amp; RIGHT($A626,4)) + TIMEVALUE($B626), "")</f>
        <v/>
      </c>
      <c r="O626" s="48" t="str">
        <f>IF(Account!$F626&lt;&gt;"", DATEVALUE(MID($A626,4,3) &amp; LEFT($A626,3) &amp; RIGHT($A626,4)), "")</f>
        <v/>
      </c>
      <c r="P626" s="49" t="str">
        <f>IFERROR(VLOOKUP($Q626,Selection!$F:$G,2,false))</f>
        <v/>
      </c>
      <c r="Q626" s="50" t="str">
        <f>IF(AND($X626="change",$H626="EUR"),IF(AND($Z626="Crédit",$N626=$N627),$Q627,IF(AND($Z626="Débit",$N626=$N625),$Q625)),IF(OR(AND(OR($E626&lt;&gt;"",$L626=""),$M626&lt;&gt;0),$A626=""),IFERROR(VLOOKUP($E626,Selection!$E:$F,2,false)),IFERROR(VLOOKUP(SUBSTITUTE($I626,"-","",1),$K627:$Q1119,7,false),VLOOKUP($K626,$K627:$Q1119,7,false))))</f>
        <v/>
      </c>
      <c r="R626" s="49" t="str">
        <f t="shared" si="2"/>
        <v/>
      </c>
      <c r="S626" s="51" t="str">
        <f t="shared" si="3"/>
        <v/>
      </c>
      <c r="T626" s="52" t="str">
        <f t="shared" si="4"/>
        <v/>
      </c>
      <c r="U626" s="46" t="str">
        <f t="shared" si="5"/>
        <v/>
      </c>
      <c r="V626" s="53" t="str">
        <f>IFERROR(__xludf.DUMMYFUNCTION(" IF(Account!$F626&lt;&gt;"""", SPLIT(Account!$F626, "" ""), """")"),"")</f>
        <v/>
      </c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</row>
    <row r="627">
      <c r="A627" s="215"/>
      <c r="B627" s="215"/>
      <c r="C627" s="215"/>
      <c r="D627" s="215"/>
      <c r="E627" s="215"/>
      <c r="F627" s="373"/>
      <c r="G627" s="215"/>
      <c r="H627" s="215"/>
      <c r="I627" s="215"/>
      <c r="J627" s="215"/>
      <c r="K627" s="215"/>
      <c r="L627" s="45" t="str">
        <f t="shared" si="1"/>
        <v/>
      </c>
      <c r="M627" s="46" t="str">
        <f>IFERROR(__xludf.DUMMYFUNCTION("IF(Account!$F627&lt;&gt;"""", VALUE(REGEXREPLACE($I627, ""\,"", ""."")), """")"),"")</f>
        <v/>
      </c>
      <c r="N627" s="47" t="str">
        <f>IF(Account!$F627&lt;&gt;"", DATEVALUE(MID($A627,4,3) &amp; LEFT($A627,3) &amp; RIGHT($A627,4)) + TIMEVALUE($B627), "")</f>
        <v/>
      </c>
      <c r="O627" s="48" t="str">
        <f>IF(Account!$F627&lt;&gt;"", DATEVALUE(MID($A627,4,3) &amp; LEFT($A627,3) &amp; RIGHT($A627,4)), "")</f>
        <v/>
      </c>
      <c r="P627" s="49" t="str">
        <f>IFERROR(VLOOKUP($Q627,Selection!$F:$G,2,false))</f>
        <v/>
      </c>
      <c r="Q627" s="50" t="str">
        <f>IF(AND($X627="change",$H627="EUR"),IF(AND($Z627="Crédit",$N627=$N628),$Q628,IF(AND($Z627="Débit",$N627=$N626),$Q626)),IF(OR(AND(OR($E627&lt;&gt;"",$L627=""),$M627&lt;&gt;0),$A627=""),IFERROR(VLOOKUP($E627,Selection!$E:$F,2,false)),IFERROR(VLOOKUP(SUBSTITUTE($I627,"-","",1),$K628:$Q1119,7,false),VLOOKUP($K627,$K628:$Q1119,7,false))))</f>
        <v/>
      </c>
      <c r="R627" s="49" t="str">
        <f t="shared" si="2"/>
        <v/>
      </c>
      <c r="S627" s="51" t="str">
        <f t="shared" si="3"/>
        <v/>
      </c>
      <c r="T627" s="52" t="str">
        <f t="shared" si="4"/>
        <v/>
      </c>
      <c r="U627" s="46" t="str">
        <f t="shared" si="5"/>
        <v/>
      </c>
      <c r="V627" s="53" t="str">
        <f>IFERROR(__xludf.DUMMYFUNCTION(" IF(Account!$F627&lt;&gt;"""", SPLIT(Account!$F627, "" ""), """")"),"")</f>
        <v/>
      </c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</row>
    <row r="628">
      <c r="A628" s="215"/>
      <c r="B628" s="215"/>
      <c r="C628" s="215"/>
      <c r="D628" s="215"/>
      <c r="E628" s="215"/>
      <c r="F628" s="373"/>
      <c r="G628" s="215"/>
      <c r="H628" s="215"/>
      <c r="I628" s="215"/>
      <c r="J628" s="215"/>
      <c r="K628" s="215"/>
      <c r="L628" s="45" t="str">
        <f t="shared" si="1"/>
        <v/>
      </c>
      <c r="M628" s="46" t="str">
        <f>IFERROR(__xludf.DUMMYFUNCTION("IF(Account!$F628&lt;&gt;"""", VALUE(REGEXREPLACE($I628, ""\,"", ""."")), """")"),"")</f>
        <v/>
      </c>
      <c r="N628" s="47" t="str">
        <f>IF(Account!$F628&lt;&gt;"", DATEVALUE(MID($A628,4,3) &amp; LEFT($A628,3) &amp; RIGHT($A628,4)) + TIMEVALUE($B628), "")</f>
        <v/>
      </c>
      <c r="O628" s="48" t="str">
        <f>IF(Account!$F628&lt;&gt;"", DATEVALUE(MID($A628,4,3) &amp; LEFT($A628,3) &amp; RIGHT($A628,4)), "")</f>
        <v/>
      </c>
      <c r="P628" s="49" t="str">
        <f>IFERROR(VLOOKUP($Q628,Selection!$F:$G,2,false))</f>
        <v/>
      </c>
      <c r="Q628" s="50" t="str">
        <f>IF(AND($X628="change",$H628="EUR"),IF(AND($Z628="Crédit",$N628=$N629),$Q629,IF(AND($Z628="Débit",$N628=$N627),$Q627)),IF(OR(AND(OR($E628&lt;&gt;"",$L628=""),$M628&lt;&gt;0),$A628=""),IFERROR(VLOOKUP($E628,Selection!$E:$F,2,false)),IFERROR(VLOOKUP(SUBSTITUTE($I628,"-","",1),$K629:$Q1119,7,false),VLOOKUP($K628,$K629:$Q1119,7,false))))</f>
        <v/>
      </c>
      <c r="R628" s="49" t="str">
        <f t="shared" si="2"/>
        <v/>
      </c>
      <c r="S628" s="51" t="str">
        <f t="shared" si="3"/>
        <v/>
      </c>
      <c r="T628" s="52" t="str">
        <f t="shared" si="4"/>
        <v/>
      </c>
      <c r="U628" s="46" t="str">
        <f t="shared" si="5"/>
        <v/>
      </c>
      <c r="V628" s="53" t="str">
        <f>IFERROR(__xludf.DUMMYFUNCTION(" IF(Account!$F628&lt;&gt;"""", SPLIT(Account!$F628, "" ""), """")"),"")</f>
        <v/>
      </c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</row>
    <row r="629">
      <c r="A629" s="215"/>
      <c r="B629" s="215"/>
      <c r="C629" s="215"/>
      <c r="D629" s="215"/>
      <c r="E629" s="215"/>
      <c r="F629" s="373"/>
      <c r="G629" s="215"/>
      <c r="H629" s="215"/>
      <c r="I629" s="215"/>
      <c r="J629" s="215"/>
      <c r="K629" s="215"/>
      <c r="L629" s="45" t="str">
        <f t="shared" si="1"/>
        <v/>
      </c>
      <c r="M629" s="46" t="str">
        <f>IFERROR(__xludf.DUMMYFUNCTION("IF(Account!$F629&lt;&gt;"""", VALUE(REGEXREPLACE($I629, ""\,"", ""."")), """")"),"")</f>
        <v/>
      </c>
      <c r="N629" s="47" t="str">
        <f>IF(Account!$F629&lt;&gt;"", DATEVALUE(MID($A629,4,3) &amp; LEFT($A629,3) &amp; RIGHT($A629,4)) + TIMEVALUE($B629), "")</f>
        <v/>
      </c>
      <c r="O629" s="48" t="str">
        <f>IF(Account!$F629&lt;&gt;"", DATEVALUE(MID($A629,4,3) &amp; LEFT($A629,3) &amp; RIGHT($A629,4)), "")</f>
        <v/>
      </c>
      <c r="P629" s="49" t="str">
        <f>IFERROR(VLOOKUP($Q629,Selection!$F:$G,2,false))</f>
        <v/>
      </c>
      <c r="Q629" s="50" t="str">
        <f>IF(AND($X629="change",$H629="EUR"),IF(AND($Z629="Crédit",$N629=$N630),$Q630,IF(AND($Z629="Débit",$N629=$N628),$Q628)),IF(OR(AND(OR($E629&lt;&gt;"",$L629=""),$M629&lt;&gt;0),$A629=""),IFERROR(VLOOKUP($E629,Selection!$E:$F,2,false)),IFERROR(VLOOKUP(SUBSTITUTE($I629,"-","",1),$K630:$Q1119,7,false),VLOOKUP($K629,$K630:$Q1119,7,false))))</f>
        <v/>
      </c>
      <c r="R629" s="49" t="str">
        <f t="shared" si="2"/>
        <v/>
      </c>
      <c r="S629" s="51" t="str">
        <f t="shared" si="3"/>
        <v/>
      </c>
      <c r="T629" s="52" t="str">
        <f t="shared" si="4"/>
        <v/>
      </c>
      <c r="U629" s="46" t="str">
        <f t="shared" si="5"/>
        <v/>
      </c>
      <c r="V629" s="53" t="str">
        <f>IFERROR(__xludf.DUMMYFUNCTION(" IF(Account!$F629&lt;&gt;"""", SPLIT(Account!$F629, "" ""), """")"),"")</f>
        <v/>
      </c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</row>
    <row r="630">
      <c r="A630" s="215"/>
      <c r="B630" s="215"/>
      <c r="C630" s="215"/>
      <c r="D630" s="215"/>
      <c r="E630" s="215"/>
      <c r="F630" s="373"/>
      <c r="G630" s="215"/>
      <c r="H630" s="215"/>
      <c r="I630" s="215"/>
      <c r="J630" s="215"/>
      <c r="K630" s="215"/>
      <c r="L630" s="45" t="str">
        <f t="shared" si="1"/>
        <v/>
      </c>
      <c r="M630" s="46" t="str">
        <f>IFERROR(__xludf.DUMMYFUNCTION("IF(Account!$F630&lt;&gt;"""", VALUE(REGEXREPLACE($I630, ""\,"", ""."")), """")"),"")</f>
        <v/>
      </c>
      <c r="N630" s="47" t="str">
        <f>IF(Account!$F630&lt;&gt;"", DATEVALUE(MID($A630,4,3) &amp; LEFT($A630,3) &amp; RIGHT($A630,4)) + TIMEVALUE($B630), "")</f>
        <v/>
      </c>
      <c r="O630" s="48" t="str">
        <f>IF(Account!$F630&lt;&gt;"", DATEVALUE(MID($A630,4,3) &amp; LEFT($A630,3) &amp; RIGHT($A630,4)), "")</f>
        <v/>
      </c>
      <c r="P630" s="49" t="str">
        <f>IFERROR(VLOOKUP($Q630,Selection!$F:$G,2,false))</f>
        <v/>
      </c>
      <c r="Q630" s="50" t="str">
        <f>IF(AND($X630="change",$H630="EUR"),IF(AND($Z630="Crédit",$N630=$N631),$Q631,IF(AND($Z630="Débit",$N630=$N629),$Q629)),IF(OR(AND(OR($E630&lt;&gt;"",$L630=""),$M630&lt;&gt;0),$A630=""),IFERROR(VLOOKUP($E630,Selection!$E:$F,2,false)),IFERROR(VLOOKUP(SUBSTITUTE($I630,"-","",1),$K631:$Q1119,7,false),VLOOKUP($K630,$K631:$Q1119,7,false))))</f>
        <v/>
      </c>
      <c r="R630" s="49" t="str">
        <f t="shared" si="2"/>
        <v/>
      </c>
      <c r="S630" s="51" t="str">
        <f t="shared" si="3"/>
        <v/>
      </c>
      <c r="T630" s="52" t="str">
        <f t="shared" si="4"/>
        <v/>
      </c>
      <c r="U630" s="46" t="str">
        <f t="shared" si="5"/>
        <v/>
      </c>
      <c r="V630" s="53" t="str">
        <f>IFERROR(__xludf.DUMMYFUNCTION(" IF(Account!$F630&lt;&gt;"""", SPLIT(Account!$F630, "" ""), """")"),"")</f>
        <v/>
      </c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</row>
    <row r="631">
      <c r="A631" s="215"/>
      <c r="B631" s="215"/>
      <c r="C631" s="215"/>
      <c r="D631" s="215"/>
      <c r="E631" s="215"/>
      <c r="F631" s="373"/>
      <c r="G631" s="215"/>
      <c r="H631" s="215"/>
      <c r="I631" s="215"/>
      <c r="J631" s="215"/>
      <c r="K631" s="215"/>
      <c r="L631" s="45" t="str">
        <f t="shared" si="1"/>
        <v/>
      </c>
      <c r="M631" s="46" t="str">
        <f>IFERROR(__xludf.DUMMYFUNCTION("IF(Account!$F631&lt;&gt;"""", VALUE(REGEXREPLACE($I631, ""\,"", ""."")), """")"),"")</f>
        <v/>
      </c>
      <c r="N631" s="47" t="str">
        <f>IF(Account!$F631&lt;&gt;"", DATEVALUE(MID($A631,4,3) &amp; LEFT($A631,3) &amp; RIGHT($A631,4)) + TIMEVALUE($B631), "")</f>
        <v/>
      </c>
      <c r="O631" s="48" t="str">
        <f>IF(Account!$F631&lt;&gt;"", DATEVALUE(MID($A631,4,3) &amp; LEFT($A631,3) &amp; RIGHT($A631,4)), "")</f>
        <v/>
      </c>
      <c r="P631" s="49" t="str">
        <f>IFERROR(VLOOKUP($Q631,Selection!$F:$G,2,false))</f>
        <v/>
      </c>
      <c r="Q631" s="50" t="str">
        <f>IF(AND($X631="change",$H631="EUR"),IF(AND($Z631="Crédit",$N631=$N632),$Q632,IF(AND($Z631="Débit",$N631=$N630),$Q630)),IF(OR(AND(OR($E631&lt;&gt;"",$L631=""),$M631&lt;&gt;0),$A631=""),IFERROR(VLOOKUP($E631,Selection!$E:$F,2,false)),IFERROR(VLOOKUP(SUBSTITUTE($I631,"-","",1),$K632:$Q1119,7,false),VLOOKUP($K631,$K632:$Q1119,7,false))))</f>
        <v/>
      </c>
      <c r="R631" s="49" t="str">
        <f t="shared" si="2"/>
        <v/>
      </c>
      <c r="S631" s="51" t="str">
        <f t="shared" si="3"/>
        <v/>
      </c>
      <c r="T631" s="52" t="str">
        <f t="shared" si="4"/>
        <v/>
      </c>
      <c r="U631" s="46" t="str">
        <f t="shared" si="5"/>
        <v/>
      </c>
      <c r="V631" s="53" t="str">
        <f>IFERROR(__xludf.DUMMYFUNCTION(" IF(Account!$F631&lt;&gt;"""", SPLIT(Account!$F631, "" ""), """")"),"")</f>
        <v/>
      </c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</row>
    <row r="632">
      <c r="A632" s="215"/>
      <c r="B632" s="215"/>
      <c r="C632" s="215"/>
      <c r="D632" s="215"/>
      <c r="E632" s="215"/>
      <c r="F632" s="373"/>
      <c r="G632" s="215"/>
      <c r="H632" s="215"/>
      <c r="I632" s="215"/>
      <c r="J632" s="215"/>
      <c r="K632" s="215"/>
      <c r="L632" s="45" t="str">
        <f t="shared" si="1"/>
        <v/>
      </c>
      <c r="M632" s="46" t="str">
        <f>IFERROR(__xludf.DUMMYFUNCTION("IF(Account!$F632&lt;&gt;"""", VALUE(REGEXREPLACE($I632, ""\,"", ""."")), """")"),"")</f>
        <v/>
      </c>
      <c r="N632" s="47" t="str">
        <f>IF(Account!$F632&lt;&gt;"", DATEVALUE(MID($A632,4,3) &amp; LEFT($A632,3) &amp; RIGHT($A632,4)) + TIMEVALUE($B632), "")</f>
        <v/>
      </c>
      <c r="O632" s="48" t="str">
        <f>IF(Account!$F632&lt;&gt;"", DATEVALUE(MID($A632,4,3) &amp; LEFT($A632,3) &amp; RIGHT($A632,4)), "")</f>
        <v/>
      </c>
      <c r="P632" s="49" t="str">
        <f>IFERROR(VLOOKUP($Q632,Selection!$F:$G,2,false))</f>
        <v/>
      </c>
      <c r="Q632" s="50" t="str">
        <f>IF(AND($X632="change",$H632="EUR"),IF(AND($Z632="Crédit",$N632=$N633),$Q633,IF(AND($Z632="Débit",$N632=$N631),$Q631)),IF(OR(AND(OR($E632&lt;&gt;"",$L632=""),$M632&lt;&gt;0),$A632=""),IFERROR(VLOOKUP($E632,Selection!$E:$F,2,false)),IFERROR(VLOOKUP(SUBSTITUTE($I632,"-","",1),$K633:$Q1119,7,false),VLOOKUP($K632,$K633:$Q1119,7,false))))</f>
        <v/>
      </c>
      <c r="R632" s="49" t="str">
        <f t="shared" si="2"/>
        <v/>
      </c>
      <c r="S632" s="51" t="str">
        <f t="shared" si="3"/>
        <v/>
      </c>
      <c r="T632" s="52" t="str">
        <f t="shared" si="4"/>
        <v/>
      </c>
      <c r="U632" s="46" t="str">
        <f t="shared" si="5"/>
        <v/>
      </c>
      <c r="V632" s="53" t="str">
        <f>IFERROR(__xludf.DUMMYFUNCTION(" IF(Account!$F632&lt;&gt;"""", SPLIT(Account!$F632, "" ""), """")"),"")</f>
        <v/>
      </c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</row>
    <row r="633">
      <c r="A633" s="215"/>
      <c r="B633" s="215"/>
      <c r="C633" s="215"/>
      <c r="D633" s="215"/>
      <c r="E633" s="215"/>
      <c r="F633" s="373"/>
      <c r="G633" s="215"/>
      <c r="H633" s="215"/>
      <c r="I633" s="215"/>
      <c r="J633" s="215"/>
      <c r="K633" s="215"/>
      <c r="L633" s="45" t="str">
        <f t="shared" si="1"/>
        <v/>
      </c>
      <c r="M633" s="46" t="str">
        <f>IFERROR(__xludf.DUMMYFUNCTION("IF(Account!$F633&lt;&gt;"""", VALUE(REGEXREPLACE($I633, ""\,"", ""."")), """")"),"")</f>
        <v/>
      </c>
      <c r="N633" s="47" t="str">
        <f>IF(Account!$F633&lt;&gt;"", DATEVALUE(MID($A633,4,3) &amp; LEFT($A633,3) &amp; RIGHT($A633,4)) + TIMEVALUE($B633), "")</f>
        <v/>
      </c>
      <c r="O633" s="48" t="str">
        <f>IF(Account!$F633&lt;&gt;"", DATEVALUE(MID($A633,4,3) &amp; LEFT($A633,3) &amp; RIGHT($A633,4)), "")</f>
        <v/>
      </c>
      <c r="P633" s="49" t="str">
        <f>IFERROR(VLOOKUP($Q633,Selection!$F:$G,2,false))</f>
        <v/>
      </c>
      <c r="Q633" s="50" t="str">
        <f>IF(AND($X633="change",$H633="EUR"),IF(AND($Z633="Crédit",$N633=$N634),$Q634,IF(AND($Z633="Débit",$N633=$N632),$Q632)),IF(OR(AND(OR($E633&lt;&gt;"",$L633=""),$M633&lt;&gt;0),$A633=""),IFERROR(VLOOKUP($E633,Selection!$E:$F,2,false)),IFERROR(VLOOKUP(SUBSTITUTE($I633,"-","",1),$K634:$Q1119,7,false),VLOOKUP($K633,$K634:$Q1119,7,false))))</f>
        <v/>
      </c>
      <c r="R633" s="49" t="str">
        <f t="shared" si="2"/>
        <v/>
      </c>
      <c r="S633" s="51" t="str">
        <f t="shared" si="3"/>
        <v/>
      </c>
      <c r="T633" s="52" t="str">
        <f t="shared" si="4"/>
        <v/>
      </c>
      <c r="U633" s="46" t="str">
        <f t="shared" si="5"/>
        <v/>
      </c>
      <c r="V633" s="53" t="str">
        <f>IFERROR(__xludf.DUMMYFUNCTION(" IF(Account!$F633&lt;&gt;"""", SPLIT(Account!$F633, "" ""), """")"),"")</f>
        <v/>
      </c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</row>
    <row r="634">
      <c r="A634" s="215"/>
      <c r="B634" s="215"/>
      <c r="C634" s="215"/>
      <c r="D634" s="215"/>
      <c r="E634" s="215"/>
      <c r="F634" s="373"/>
      <c r="G634" s="215"/>
      <c r="H634" s="215"/>
      <c r="I634" s="215"/>
      <c r="J634" s="215"/>
      <c r="K634" s="215"/>
      <c r="L634" s="45" t="str">
        <f t="shared" si="1"/>
        <v/>
      </c>
      <c r="M634" s="46" t="str">
        <f>IFERROR(__xludf.DUMMYFUNCTION("IF(Account!$F634&lt;&gt;"""", VALUE(REGEXREPLACE($I634, ""\,"", ""."")), """")"),"")</f>
        <v/>
      </c>
      <c r="N634" s="47" t="str">
        <f>IF(Account!$F634&lt;&gt;"", DATEVALUE(MID($A634,4,3) &amp; LEFT($A634,3) &amp; RIGHT($A634,4)) + TIMEVALUE($B634), "")</f>
        <v/>
      </c>
      <c r="O634" s="48" t="str">
        <f>IF(Account!$F634&lt;&gt;"", DATEVALUE(MID($A634,4,3) &amp; LEFT($A634,3) &amp; RIGHT($A634,4)), "")</f>
        <v/>
      </c>
      <c r="P634" s="49" t="str">
        <f>IFERROR(VLOOKUP($Q634,Selection!$F:$G,2,false))</f>
        <v/>
      </c>
      <c r="Q634" s="50" t="str">
        <f>IF(AND($X634="change",$H634="EUR"),IF(AND($Z634="Crédit",$N634=$N635),$Q635,IF(AND($Z634="Débit",$N634=$N633),$Q633)),IF(OR(AND(OR($E634&lt;&gt;"",$L634=""),$M634&lt;&gt;0),$A634=""),IFERROR(VLOOKUP($E634,Selection!$E:$F,2,false)),IFERROR(VLOOKUP(SUBSTITUTE($I634,"-","",1),$K635:$Q1119,7,false),VLOOKUP($K634,$K635:$Q1119,7,false))))</f>
        <v/>
      </c>
      <c r="R634" s="49" t="str">
        <f t="shared" si="2"/>
        <v/>
      </c>
      <c r="S634" s="51" t="str">
        <f t="shared" si="3"/>
        <v/>
      </c>
      <c r="T634" s="52" t="str">
        <f t="shared" si="4"/>
        <v/>
      </c>
      <c r="U634" s="46" t="str">
        <f t="shared" si="5"/>
        <v/>
      </c>
      <c r="V634" s="53" t="str">
        <f>IFERROR(__xludf.DUMMYFUNCTION(" IF(Account!$F634&lt;&gt;"""", SPLIT(Account!$F634, "" ""), """")"),"")</f>
        <v/>
      </c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</row>
    <row r="635">
      <c r="A635" s="215"/>
      <c r="B635" s="215"/>
      <c r="C635" s="215"/>
      <c r="D635" s="215"/>
      <c r="E635" s="215"/>
      <c r="F635" s="373"/>
      <c r="G635" s="215"/>
      <c r="H635" s="215"/>
      <c r="I635" s="215"/>
      <c r="J635" s="215"/>
      <c r="K635" s="215"/>
      <c r="L635" s="45" t="str">
        <f t="shared" si="1"/>
        <v/>
      </c>
      <c r="M635" s="46" t="str">
        <f>IFERROR(__xludf.DUMMYFUNCTION("IF(Account!$F635&lt;&gt;"""", VALUE(REGEXREPLACE($I635, ""\,"", ""."")), """")"),"")</f>
        <v/>
      </c>
      <c r="N635" s="47" t="str">
        <f>IF(Account!$F635&lt;&gt;"", DATEVALUE(MID($A635,4,3) &amp; LEFT($A635,3) &amp; RIGHT($A635,4)) + TIMEVALUE($B635), "")</f>
        <v/>
      </c>
      <c r="O635" s="48" t="str">
        <f>IF(Account!$F635&lt;&gt;"", DATEVALUE(MID($A635,4,3) &amp; LEFT($A635,3) &amp; RIGHT($A635,4)), "")</f>
        <v/>
      </c>
      <c r="P635" s="49" t="str">
        <f>IFERROR(VLOOKUP($Q635,Selection!$F:$G,2,false))</f>
        <v/>
      </c>
      <c r="Q635" s="50" t="str">
        <f>IF(AND($X635="change",$H635="EUR"),IF(AND($Z635="Crédit",$N635=$N636),$Q636,IF(AND($Z635="Débit",$N635=$N634),$Q634)),IF(OR(AND(OR($E635&lt;&gt;"",$L635=""),$M635&lt;&gt;0),$A635=""),IFERROR(VLOOKUP($E635,Selection!$E:$F,2,false)),IFERROR(VLOOKUP(SUBSTITUTE($I635,"-","",1),$K636:$Q1119,7,false),VLOOKUP($K635,$K636:$Q1119,7,false))))</f>
        <v/>
      </c>
      <c r="R635" s="49" t="str">
        <f t="shared" si="2"/>
        <v/>
      </c>
      <c r="S635" s="51" t="str">
        <f t="shared" si="3"/>
        <v/>
      </c>
      <c r="T635" s="52" t="str">
        <f t="shared" si="4"/>
        <v/>
      </c>
      <c r="U635" s="46" t="str">
        <f t="shared" si="5"/>
        <v/>
      </c>
      <c r="V635" s="53" t="str">
        <f>IFERROR(__xludf.DUMMYFUNCTION(" IF(Account!$F635&lt;&gt;"""", SPLIT(Account!$F635, "" ""), """")"),"")</f>
        <v/>
      </c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</row>
    <row r="636">
      <c r="A636" s="215"/>
      <c r="B636" s="215"/>
      <c r="C636" s="215"/>
      <c r="D636" s="215"/>
      <c r="E636" s="215"/>
      <c r="F636" s="373"/>
      <c r="G636" s="215"/>
      <c r="H636" s="215"/>
      <c r="I636" s="215"/>
      <c r="J636" s="215"/>
      <c r="K636" s="215"/>
      <c r="L636" s="45" t="str">
        <f t="shared" si="1"/>
        <v/>
      </c>
      <c r="M636" s="46" t="str">
        <f>IFERROR(__xludf.DUMMYFUNCTION("IF(Account!$F636&lt;&gt;"""", VALUE(REGEXREPLACE($I636, ""\,"", ""."")), """")"),"")</f>
        <v/>
      </c>
      <c r="N636" s="47" t="str">
        <f>IF(Account!$F636&lt;&gt;"", DATEVALUE(MID($A636,4,3) &amp; LEFT($A636,3) &amp; RIGHT($A636,4)) + TIMEVALUE($B636), "")</f>
        <v/>
      </c>
      <c r="O636" s="48" t="str">
        <f>IF(Account!$F636&lt;&gt;"", DATEVALUE(MID($A636,4,3) &amp; LEFT($A636,3) &amp; RIGHT($A636,4)), "")</f>
        <v/>
      </c>
      <c r="P636" s="49" t="str">
        <f>IFERROR(VLOOKUP($Q636,Selection!$F:$G,2,false))</f>
        <v/>
      </c>
      <c r="Q636" s="50" t="str">
        <f>IF(AND($X636="change",$H636="EUR"),IF(AND($Z636="Crédit",$N636=$N637),$Q637,IF(AND($Z636="Débit",$N636=$N635),$Q635)),IF(OR(AND(OR($E636&lt;&gt;"",$L636=""),$M636&lt;&gt;0),$A636=""),IFERROR(VLOOKUP($E636,Selection!$E:$F,2,false)),IFERROR(VLOOKUP(SUBSTITUTE($I636,"-","",1),$K637:$Q1119,7,false),VLOOKUP($K636,$K637:$Q1119,7,false))))</f>
        <v/>
      </c>
      <c r="R636" s="49" t="str">
        <f t="shared" si="2"/>
        <v/>
      </c>
      <c r="S636" s="51" t="str">
        <f t="shared" si="3"/>
        <v/>
      </c>
      <c r="T636" s="52" t="str">
        <f t="shared" si="4"/>
        <v/>
      </c>
      <c r="U636" s="46" t="str">
        <f t="shared" si="5"/>
        <v/>
      </c>
      <c r="V636" s="53" t="str">
        <f>IFERROR(__xludf.DUMMYFUNCTION(" IF(Account!$F636&lt;&gt;"""", SPLIT(Account!$F636, "" ""), """")"),"")</f>
        <v/>
      </c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</row>
    <row r="637">
      <c r="A637" s="215"/>
      <c r="B637" s="215"/>
      <c r="C637" s="215"/>
      <c r="D637" s="215"/>
      <c r="E637" s="215"/>
      <c r="F637" s="373"/>
      <c r="G637" s="215"/>
      <c r="H637" s="215"/>
      <c r="I637" s="215"/>
      <c r="J637" s="215"/>
      <c r="K637" s="215"/>
      <c r="L637" s="45" t="str">
        <f t="shared" si="1"/>
        <v/>
      </c>
      <c r="M637" s="46" t="str">
        <f>IFERROR(__xludf.DUMMYFUNCTION("IF(Account!$F637&lt;&gt;"""", VALUE(REGEXREPLACE($I637, ""\,"", ""."")), """")"),"")</f>
        <v/>
      </c>
      <c r="N637" s="47" t="str">
        <f>IF(Account!$F637&lt;&gt;"", DATEVALUE(MID($A637,4,3) &amp; LEFT($A637,3) &amp; RIGHT($A637,4)) + TIMEVALUE($B637), "")</f>
        <v/>
      </c>
      <c r="O637" s="48" t="str">
        <f>IF(Account!$F637&lt;&gt;"", DATEVALUE(MID($A637,4,3) &amp; LEFT($A637,3) &amp; RIGHT($A637,4)), "")</f>
        <v/>
      </c>
      <c r="P637" s="49" t="str">
        <f>IFERROR(VLOOKUP($Q637,Selection!$F:$G,2,false))</f>
        <v/>
      </c>
      <c r="Q637" s="50" t="str">
        <f>IF(AND($X637="change",$H637="EUR"),IF(AND($Z637="Crédit",$N637=$N638),$Q638,IF(AND($Z637="Débit",$N637=$N636),$Q636)),IF(OR(AND(OR($E637&lt;&gt;"",$L637=""),$M637&lt;&gt;0),$A637=""),IFERROR(VLOOKUP($E637,Selection!$E:$F,2,false)),IFERROR(VLOOKUP(SUBSTITUTE($I637,"-","",1),$K638:$Q1119,7,false),VLOOKUP($K637,$K638:$Q1119,7,false))))</f>
        <v/>
      </c>
      <c r="R637" s="49" t="str">
        <f t="shared" si="2"/>
        <v/>
      </c>
      <c r="S637" s="51" t="str">
        <f t="shared" si="3"/>
        <v/>
      </c>
      <c r="T637" s="52" t="str">
        <f t="shared" si="4"/>
        <v/>
      </c>
      <c r="U637" s="46" t="str">
        <f t="shared" si="5"/>
        <v/>
      </c>
      <c r="V637" s="53" t="str">
        <f>IFERROR(__xludf.DUMMYFUNCTION(" IF(Account!$F637&lt;&gt;"""", SPLIT(Account!$F637, "" ""), """")"),"")</f>
        <v/>
      </c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</row>
    <row r="638">
      <c r="A638" s="215"/>
      <c r="B638" s="215"/>
      <c r="C638" s="215"/>
      <c r="D638" s="215"/>
      <c r="E638" s="215"/>
      <c r="F638" s="373"/>
      <c r="G638" s="215"/>
      <c r="H638" s="215"/>
      <c r="I638" s="215"/>
      <c r="J638" s="215"/>
      <c r="K638" s="215"/>
      <c r="L638" s="45" t="str">
        <f t="shared" si="1"/>
        <v/>
      </c>
      <c r="M638" s="46" t="str">
        <f>IFERROR(__xludf.DUMMYFUNCTION("IF(Account!$F638&lt;&gt;"""", VALUE(REGEXREPLACE($I638, ""\,"", ""."")), """")"),"")</f>
        <v/>
      </c>
      <c r="N638" s="47" t="str">
        <f>IF(Account!$F638&lt;&gt;"", DATEVALUE(MID($A638,4,3) &amp; LEFT($A638,3) &amp; RIGHT($A638,4)) + TIMEVALUE($B638), "")</f>
        <v/>
      </c>
      <c r="O638" s="48" t="str">
        <f>IF(Account!$F638&lt;&gt;"", DATEVALUE(MID($A638,4,3) &amp; LEFT($A638,3) &amp; RIGHT($A638,4)), "")</f>
        <v/>
      </c>
      <c r="P638" s="49" t="str">
        <f>IFERROR(VLOOKUP($Q638,Selection!$F:$G,2,false))</f>
        <v/>
      </c>
      <c r="Q638" s="50" t="str">
        <f>IF(AND($X638="change",$H638="EUR"),IF(AND($Z638="Crédit",$N638=$N639),$Q639,IF(AND($Z638="Débit",$N638=$N637),$Q637)),IF(OR(AND(OR($E638&lt;&gt;"",$L638=""),$M638&lt;&gt;0),$A638=""),IFERROR(VLOOKUP($E638,Selection!$E:$F,2,false)),IFERROR(VLOOKUP(SUBSTITUTE($I638,"-","",1),$K639:$Q1119,7,false),VLOOKUP($K638,$K639:$Q1119,7,false))))</f>
        <v/>
      </c>
      <c r="R638" s="49" t="str">
        <f t="shared" si="2"/>
        <v/>
      </c>
      <c r="S638" s="51" t="str">
        <f t="shared" si="3"/>
        <v/>
      </c>
      <c r="T638" s="52" t="str">
        <f t="shared" si="4"/>
        <v/>
      </c>
      <c r="U638" s="46" t="str">
        <f t="shared" si="5"/>
        <v/>
      </c>
      <c r="V638" s="53" t="str">
        <f>IFERROR(__xludf.DUMMYFUNCTION(" IF(Account!$F638&lt;&gt;"""", SPLIT(Account!$F638, "" ""), """")"),"")</f>
        <v/>
      </c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</row>
    <row r="639">
      <c r="A639" s="215"/>
      <c r="B639" s="215"/>
      <c r="C639" s="215"/>
      <c r="D639" s="215"/>
      <c r="E639" s="215"/>
      <c r="F639" s="373"/>
      <c r="G639" s="215"/>
      <c r="H639" s="215"/>
      <c r="I639" s="215"/>
      <c r="J639" s="215"/>
      <c r="K639" s="215"/>
      <c r="L639" s="45" t="str">
        <f t="shared" si="1"/>
        <v/>
      </c>
      <c r="M639" s="46" t="str">
        <f>IFERROR(__xludf.DUMMYFUNCTION("IF(Account!$F639&lt;&gt;"""", VALUE(REGEXREPLACE($I639, ""\,"", ""."")), """")"),"")</f>
        <v/>
      </c>
      <c r="N639" s="47" t="str">
        <f>IF(Account!$F639&lt;&gt;"", DATEVALUE(MID($A639,4,3) &amp; LEFT($A639,3) &amp; RIGHT($A639,4)) + TIMEVALUE($B639), "")</f>
        <v/>
      </c>
      <c r="O639" s="48" t="str">
        <f>IF(Account!$F639&lt;&gt;"", DATEVALUE(MID($A639,4,3) &amp; LEFT($A639,3) &amp; RIGHT($A639,4)), "")</f>
        <v/>
      </c>
      <c r="P639" s="49" t="str">
        <f>IFERROR(VLOOKUP($Q639,Selection!$F:$G,2,false))</f>
        <v/>
      </c>
      <c r="Q639" s="50" t="str">
        <f>IF(AND($X639="change",$H639="EUR"),IF(AND($Z639="Crédit",$N639=$N640),$Q640,IF(AND($Z639="Débit",$N639=$N638),$Q638)),IF(OR(AND(OR($E639&lt;&gt;"",$L639=""),$M639&lt;&gt;0),$A639=""),IFERROR(VLOOKUP($E639,Selection!$E:$F,2,false)),IFERROR(VLOOKUP(SUBSTITUTE($I639,"-","",1),$K640:$Q1119,7,false),VLOOKUP($K639,$K640:$Q1119,7,false))))</f>
        <v/>
      </c>
      <c r="R639" s="49" t="str">
        <f t="shared" si="2"/>
        <v/>
      </c>
      <c r="S639" s="51" t="str">
        <f t="shared" si="3"/>
        <v/>
      </c>
      <c r="T639" s="52" t="str">
        <f t="shared" si="4"/>
        <v/>
      </c>
      <c r="U639" s="46" t="str">
        <f t="shared" si="5"/>
        <v/>
      </c>
      <c r="V639" s="53" t="str">
        <f>IFERROR(__xludf.DUMMYFUNCTION(" IF(Account!$F639&lt;&gt;"""", SPLIT(Account!$F639, "" ""), """")"),"")</f>
        <v/>
      </c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</row>
    <row r="640">
      <c r="A640" s="215"/>
      <c r="B640" s="215"/>
      <c r="C640" s="215"/>
      <c r="D640" s="215"/>
      <c r="E640" s="215"/>
      <c r="F640" s="373"/>
      <c r="G640" s="215"/>
      <c r="H640" s="215"/>
      <c r="I640" s="215"/>
      <c r="J640" s="215"/>
      <c r="K640" s="215"/>
      <c r="L640" s="45" t="str">
        <f t="shared" si="1"/>
        <v/>
      </c>
      <c r="M640" s="46" t="str">
        <f>IFERROR(__xludf.DUMMYFUNCTION("IF(Account!$F640&lt;&gt;"""", VALUE(REGEXREPLACE($I640, ""\,"", ""."")), """")"),"")</f>
        <v/>
      </c>
      <c r="N640" s="47" t="str">
        <f>IF(Account!$F640&lt;&gt;"", DATEVALUE(MID($A640,4,3) &amp; LEFT($A640,3) &amp; RIGHT($A640,4)) + TIMEVALUE($B640), "")</f>
        <v/>
      </c>
      <c r="O640" s="48" t="str">
        <f>IF(Account!$F640&lt;&gt;"", DATEVALUE(MID($A640,4,3) &amp; LEFT($A640,3) &amp; RIGHT($A640,4)), "")</f>
        <v/>
      </c>
      <c r="P640" s="49" t="str">
        <f>IFERROR(VLOOKUP($Q640,Selection!$F:$G,2,false))</f>
        <v/>
      </c>
      <c r="Q640" s="50" t="str">
        <f>IF(AND($X640="change",$H640="EUR"),IF(AND($Z640="Crédit",$N640=$N641),$Q641,IF(AND($Z640="Débit",$N640=$N639),$Q639)),IF(OR(AND(OR($E640&lt;&gt;"",$L640=""),$M640&lt;&gt;0),$A640=""),IFERROR(VLOOKUP($E640,Selection!$E:$F,2,false)),IFERROR(VLOOKUP(SUBSTITUTE($I640,"-","",1),$K641:$Q1119,7,false),VLOOKUP($K640,$K641:$Q1119,7,false))))</f>
        <v/>
      </c>
      <c r="R640" s="49" t="str">
        <f t="shared" si="2"/>
        <v/>
      </c>
      <c r="S640" s="51" t="str">
        <f t="shared" si="3"/>
        <v/>
      </c>
      <c r="T640" s="52" t="str">
        <f t="shared" si="4"/>
        <v/>
      </c>
      <c r="U640" s="46" t="str">
        <f t="shared" si="5"/>
        <v/>
      </c>
      <c r="V640" s="53" t="str">
        <f>IFERROR(__xludf.DUMMYFUNCTION(" IF(Account!$F640&lt;&gt;"""", SPLIT(Account!$F640, "" ""), """")"),"")</f>
        <v/>
      </c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</row>
    <row r="641">
      <c r="A641" s="215"/>
      <c r="B641" s="215"/>
      <c r="C641" s="215"/>
      <c r="D641" s="215"/>
      <c r="E641" s="215"/>
      <c r="F641" s="373"/>
      <c r="G641" s="215"/>
      <c r="H641" s="215"/>
      <c r="I641" s="215"/>
      <c r="J641" s="215"/>
      <c r="K641" s="215"/>
      <c r="L641" s="45" t="str">
        <f t="shared" si="1"/>
        <v/>
      </c>
      <c r="M641" s="46" t="str">
        <f>IFERROR(__xludf.DUMMYFUNCTION("IF(Account!$F641&lt;&gt;"""", VALUE(REGEXREPLACE($I641, ""\,"", ""."")), """")"),"")</f>
        <v/>
      </c>
      <c r="N641" s="47" t="str">
        <f>IF(Account!$F641&lt;&gt;"", DATEVALUE(MID($A641,4,3) &amp; LEFT($A641,3) &amp; RIGHT($A641,4)) + TIMEVALUE($B641), "")</f>
        <v/>
      </c>
      <c r="O641" s="48" t="str">
        <f>IF(Account!$F641&lt;&gt;"", DATEVALUE(MID($A641,4,3) &amp; LEFT($A641,3) &amp; RIGHT($A641,4)), "")</f>
        <v/>
      </c>
      <c r="P641" s="49" t="str">
        <f>IFERROR(VLOOKUP($Q641,Selection!$F:$G,2,false))</f>
        <v/>
      </c>
      <c r="Q641" s="50" t="str">
        <f>IF(AND($X641="change",$H641="EUR"),IF(AND($Z641="Crédit",$N641=$N642),$Q642,IF(AND($Z641="Débit",$N641=$N640),$Q640)),IF(OR(AND(OR($E641&lt;&gt;"",$L641=""),$M641&lt;&gt;0),$A641=""),IFERROR(VLOOKUP($E641,Selection!$E:$F,2,false)),IFERROR(VLOOKUP(SUBSTITUTE($I641,"-","",1),$K642:$Q1119,7,false),VLOOKUP($K641,$K642:$Q1119,7,false))))</f>
        <v/>
      </c>
      <c r="R641" s="49" t="str">
        <f t="shared" si="2"/>
        <v/>
      </c>
      <c r="S641" s="51" t="str">
        <f t="shared" si="3"/>
        <v/>
      </c>
      <c r="T641" s="52" t="str">
        <f t="shared" si="4"/>
        <v/>
      </c>
      <c r="U641" s="46" t="str">
        <f t="shared" si="5"/>
        <v/>
      </c>
      <c r="V641" s="53" t="str">
        <f>IFERROR(__xludf.DUMMYFUNCTION(" IF(Account!$F641&lt;&gt;"""", SPLIT(Account!$F641, "" ""), """")"),"")</f>
        <v/>
      </c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</row>
    <row r="642">
      <c r="A642" s="215"/>
      <c r="B642" s="215"/>
      <c r="C642" s="215"/>
      <c r="D642" s="215"/>
      <c r="E642" s="215"/>
      <c r="F642" s="373"/>
      <c r="G642" s="215"/>
      <c r="H642" s="215"/>
      <c r="I642" s="215"/>
      <c r="J642" s="215"/>
      <c r="K642" s="215"/>
      <c r="L642" s="45" t="str">
        <f t="shared" si="1"/>
        <v/>
      </c>
      <c r="M642" s="46" t="str">
        <f>IFERROR(__xludf.DUMMYFUNCTION("IF(Account!$F642&lt;&gt;"""", VALUE(REGEXREPLACE($I642, ""\,"", ""."")), """")"),"")</f>
        <v/>
      </c>
      <c r="N642" s="47" t="str">
        <f>IF(Account!$F642&lt;&gt;"", DATEVALUE(MID($A642,4,3) &amp; LEFT($A642,3) &amp; RIGHT($A642,4)) + TIMEVALUE($B642), "")</f>
        <v/>
      </c>
      <c r="O642" s="48" t="str">
        <f>IF(Account!$F642&lt;&gt;"", DATEVALUE(MID($A642,4,3) &amp; LEFT($A642,3) &amp; RIGHT($A642,4)), "")</f>
        <v/>
      </c>
      <c r="P642" s="49" t="str">
        <f>IFERROR(VLOOKUP($Q642,Selection!$F:$G,2,false))</f>
        <v/>
      </c>
      <c r="Q642" s="50" t="str">
        <f>IF(AND($X642="change",$H642="EUR"),IF(AND($Z642="Crédit",$N642=$N643),$Q643,IF(AND($Z642="Débit",$N642=$N641),$Q641)),IF(OR(AND(OR($E642&lt;&gt;"",$L642=""),$M642&lt;&gt;0),$A642=""),IFERROR(VLOOKUP($E642,Selection!$E:$F,2,false)),IFERROR(VLOOKUP(SUBSTITUTE($I642,"-","",1),$K643:$Q1119,7,false),VLOOKUP($K642,$K643:$Q1119,7,false))))</f>
        <v/>
      </c>
      <c r="R642" s="49" t="str">
        <f t="shared" si="2"/>
        <v/>
      </c>
      <c r="S642" s="51" t="str">
        <f t="shared" si="3"/>
        <v/>
      </c>
      <c r="T642" s="52" t="str">
        <f t="shared" si="4"/>
        <v/>
      </c>
      <c r="U642" s="46" t="str">
        <f t="shared" si="5"/>
        <v/>
      </c>
      <c r="V642" s="53" t="str">
        <f>IFERROR(__xludf.DUMMYFUNCTION(" IF(Account!$F642&lt;&gt;"""", SPLIT(Account!$F642, "" ""), """")"),"")</f>
        <v/>
      </c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</row>
    <row r="643">
      <c r="A643" s="215"/>
      <c r="B643" s="215"/>
      <c r="C643" s="215"/>
      <c r="D643" s="215"/>
      <c r="E643" s="215"/>
      <c r="F643" s="373"/>
      <c r="G643" s="215"/>
      <c r="H643" s="215"/>
      <c r="I643" s="215"/>
      <c r="J643" s="215"/>
      <c r="K643" s="215"/>
      <c r="L643" s="45" t="str">
        <f t="shared" si="1"/>
        <v/>
      </c>
      <c r="M643" s="46" t="str">
        <f>IFERROR(__xludf.DUMMYFUNCTION("IF(Account!$F643&lt;&gt;"""", VALUE(REGEXREPLACE($I643, ""\,"", ""."")), """")"),"")</f>
        <v/>
      </c>
      <c r="N643" s="47" t="str">
        <f>IF(Account!$F643&lt;&gt;"", DATEVALUE(MID($A643,4,3) &amp; LEFT($A643,3) &amp; RIGHT($A643,4)) + TIMEVALUE($B643), "")</f>
        <v/>
      </c>
      <c r="O643" s="48" t="str">
        <f>IF(Account!$F643&lt;&gt;"", DATEVALUE(MID($A643,4,3) &amp; LEFT($A643,3) &amp; RIGHT($A643,4)), "")</f>
        <v/>
      </c>
      <c r="P643" s="49" t="str">
        <f>IFERROR(VLOOKUP($Q643,Selection!$F:$G,2,false))</f>
        <v/>
      </c>
      <c r="Q643" s="50" t="str">
        <f>IF(AND($X643="change",$H643="EUR"),IF(AND($Z643="Crédit",$N643=$N644),$Q644,IF(AND($Z643="Débit",$N643=$N642),$Q642)),IF(OR(AND(OR($E643&lt;&gt;"",$L643=""),$M643&lt;&gt;0),$A643=""),IFERROR(VLOOKUP($E643,Selection!$E:$F,2,false)),IFERROR(VLOOKUP(SUBSTITUTE($I643,"-","",1),$K644:$Q1119,7,false),VLOOKUP($K643,$K644:$Q1119,7,false))))</f>
        <v/>
      </c>
      <c r="R643" s="49" t="str">
        <f t="shared" si="2"/>
        <v/>
      </c>
      <c r="S643" s="51" t="str">
        <f t="shared" si="3"/>
        <v/>
      </c>
      <c r="T643" s="52" t="str">
        <f t="shared" si="4"/>
        <v/>
      </c>
      <c r="U643" s="46" t="str">
        <f t="shared" si="5"/>
        <v/>
      </c>
      <c r="V643" s="53" t="str">
        <f>IFERROR(__xludf.DUMMYFUNCTION(" IF(Account!$F643&lt;&gt;"""", SPLIT(Account!$F643, "" ""), """")"),"")</f>
        <v/>
      </c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</row>
    <row r="644">
      <c r="A644" s="215"/>
      <c r="B644" s="215"/>
      <c r="C644" s="215"/>
      <c r="D644" s="215"/>
      <c r="E644" s="215"/>
      <c r="F644" s="373"/>
      <c r="G644" s="215"/>
      <c r="H644" s="215"/>
      <c r="I644" s="215"/>
      <c r="J644" s="215"/>
      <c r="K644" s="215"/>
      <c r="L644" s="45" t="str">
        <f t="shared" si="1"/>
        <v/>
      </c>
      <c r="M644" s="46" t="str">
        <f>IFERROR(__xludf.DUMMYFUNCTION("IF(Account!$F644&lt;&gt;"""", VALUE(REGEXREPLACE($I644, ""\,"", ""."")), """")"),"")</f>
        <v/>
      </c>
      <c r="N644" s="47" t="str">
        <f>IF(Account!$F644&lt;&gt;"", DATEVALUE(MID($A644,4,3) &amp; LEFT($A644,3) &amp; RIGHT($A644,4)) + TIMEVALUE($B644), "")</f>
        <v/>
      </c>
      <c r="O644" s="48" t="str">
        <f>IF(Account!$F644&lt;&gt;"", DATEVALUE(MID($A644,4,3) &amp; LEFT($A644,3) &amp; RIGHT($A644,4)), "")</f>
        <v/>
      </c>
      <c r="P644" s="49" t="str">
        <f>IFERROR(VLOOKUP($Q644,Selection!$F:$G,2,false))</f>
        <v/>
      </c>
      <c r="Q644" s="50" t="str">
        <f>IF(AND($X644="change",$H644="EUR"),IF(AND($Z644="Crédit",$N644=$N645),$Q645,IF(AND($Z644="Débit",$N644=$N643),$Q643)),IF(OR(AND(OR($E644&lt;&gt;"",$L644=""),$M644&lt;&gt;0),$A644=""),IFERROR(VLOOKUP($E644,Selection!$E:$F,2,false)),IFERROR(VLOOKUP(SUBSTITUTE($I644,"-","",1),$K645:$Q1119,7,false),VLOOKUP($K644,$K645:$Q1119,7,false))))</f>
        <v/>
      </c>
      <c r="R644" s="49" t="str">
        <f t="shared" si="2"/>
        <v/>
      </c>
      <c r="S644" s="51" t="str">
        <f t="shared" si="3"/>
        <v/>
      </c>
      <c r="T644" s="52" t="str">
        <f t="shared" si="4"/>
        <v/>
      </c>
      <c r="U644" s="46" t="str">
        <f t="shared" si="5"/>
        <v/>
      </c>
      <c r="V644" s="53" t="str">
        <f>IFERROR(__xludf.DUMMYFUNCTION(" IF(Account!$F644&lt;&gt;"""", SPLIT(Account!$F644, "" ""), """")"),"")</f>
        <v/>
      </c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</row>
    <row r="645">
      <c r="A645" s="215"/>
      <c r="B645" s="215"/>
      <c r="C645" s="215"/>
      <c r="D645" s="215"/>
      <c r="E645" s="215"/>
      <c r="F645" s="373"/>
      <c r="G645" s="215"/>
      <c r="H645" s="215"/>
      <c r="I645" s="215"/>
      <c r="J645" s="215"/>
      <c r="K645" s="215"/>
      <c r="L645" s="45" t="str">
        <f t="shared" si="1"/>
        <v/>
      </c>
      <c r="M645" s="46" t="str">
        <f>IFERROR(__xludf.DUMMYFUNCTION("IF(Account!$F645&lt;&gt;"""", VALUE(REGEXREPLACE($I645, ""\,"", ""."")), """")"),"")</f>
        <v/>
      </c>
      <c r="N645" s="47" t="str">
        <f>IF(Account!$F645&lt;&gt;"", DATEVALUE(MID($A645,4,3) &amp; LEFT($A645,3) &amp; RIGHT($A645,4)) + TIMEVALUE($B645), "")</f>
        <v/>
      </c>
      <c r="O645" s="48" t="str">
        <f>IF(Account!$F645&lt;&gt;"", DATEVALUE(MID($A645,4,3) &amp; LEFT($A645,3) &amp; RIGHT($A645,4)), "")</f>
        <v/>
      </c>
      <c r="P645" s="49" t="str">
        <f>IFERROR(VLOOKUP($Q645,Selection!$F:$G,2,false))</f>
        <v/>
      </c>
      <c r="Q645" s="50" t="str">
        <f>IF(AND($X645="change",$H645="EUR"),IF(AND($Z645="Crédit",$N645=$N646),$Q646,IF(AND($Z645="Débit",$N645=$N644),$Q644)),IF(OR(AND(OR($E645&lt;&gt;"",$L645=""),$M645&lt;&gt;0),$A645=""),IFERROR(VLOOKUP($E645,Selection!$E:$F,2,false)),IFERROR(VLOOKUP(SUBSTITUTE($I645,"-","",1),$K646:$Q1119,7,false),VLOOKUP($K645,$K646:$Q1119,7,false))))</f>
        <v/>
      </c>
      <c r="R645" s="49" t="str">
        <f t="shared" si="2"/>
        <v/>
      </c>
      <c r="S645" s="51" t="str">
        <f t="shared" si="3"/>
        <v/>
      </c>
      <c r="T645" s="52" t="str">
        <f t="shared" si="4"/>
        <v/>
      </c>
      <c r="U645" s="46" t="str">
        <f t="shared" si="5"/>
        <v/>
      </c>
      <c r="V645" s="53" t="str">
        <f>IFERROR(__xludf.DUMMYFUNCTION(" IF(Account!$F645&lt;&gt;"""", SPLIT(Account!$F645, "" ""), """")"),"")</f>
        <v/>
      </c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</row>
    <row r="646">
      <c r="A646" s="215"/>
      <c r="B646" s="215"/>
      <c r="C646" s="215"/>
      <c r="D646" s="215"/>
      <c r="E646" s="215"/>
      <c r="F646" s="373"/>
      <c r="G646" s="215"/>
      <c r="H646" s="215"/>
      <c r="I646" s="215"/>
      <c r="J646" s="215"/>
      <c r="K646" s="215"/>
      <c r="L646" s="45" t="str">
        <f t="shared" si="1"/>
        <v/>
      </c>
      <c r="M646" s="46" t="str">
        <f>IFERROR(__xludf.DUMMYFUNCTION("IF(Account!$F646&lt;&gt;"""", VALUE(REGEXREPLACE($I646, ""\,"", ""."")), """")"),"")</f>
        <v/>
      </c>
      <c r="N646" s="47" t="str">
        <f>IF(Account!$F646&lt;&gt;"", DATEVALUE(MID($A646,4,3) &amp; LEFT($A646,3) &amp; RIGHT($A646,4)) + TIMEVALUE($B646), "")</f>
        <v/>
      </c>
      <c r="O646" s="48" t="str">
        <f>IF(Account!$F646&lt;&gt;"", DATEVALUE(MID($A646,4,3) &amp; LEFT($A646,3) &amp; RIGHT($A646,4)), "")</f>
        <v/>
      </c>
      <c r="P646" s="49" t="str">
        <f>IFERROR(VLOOKUP($Q646,Selection!$F:$G,2,false))</f>
        <v/>
      </c>
      <c r="Q646" s="50" t="str">
        <f>IF(AND($X646="change",$H646="EUR"),IF(AND($Z646="Crédit",$N646=$N647),$Q647,IF(AND($Z646="Débit",$N646=$N645),$Q645)),IF(OR(AND(OR($E646&lt;&gt;"",$L646=""),$M646&lt;&gt;0),$A646=""),IFERROR(VLOOKUP($E646,Selection!$E:$F,2,false)),IFERROR(VLOOKUP(SUBSTITUTE($I646,"-","",1),$K647:$Q1119,7,false),VLOOKUP($K646,$K647:$Q1119,7,false))))</f>
        <v/>
      </c>
      <c r="R646" s="49" t="str">
        <f t="shared" si="2"/>
        <v/>
      </c>
      <c r="S646" s="51" t="str">
        <f t="shared" si="3"/>
        <v/>
      </c>
      <c r="T646" s="52" t="str">
        <f t="shared" si="4"/>
        <v/>
      </c>
      <c r="U646" s="46" t="str">
        <f t="shared" si="5"/>
        <v/>
      </c>
      <c r="V646" s="53" t="str">
        <f>IFERROR(__xludf.DUMMYFUNCTION(" IF(Account!$F646&lt;&gt;"""", SPLIT(Account!$F646, "" ""), """")"),"")</f>
        <v/>
      </c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</row>
    <row r="647">
      <c r="A647" s="215"/>
      <c r="B647" s="215"/>
      <c r="C647" s="215"/>
      <c r="D647" s="215"/>
      <c r="E647" s="215"/>
      <c r="F647" s="373"/>
      <c r="G647" s="215"/>
      <c r="H647" s="215"/>
      <c r="I647" s="215"/>
      <c r="J647" s="215"/>
      <c r="K647" s="215"/>
      <c r="L647" s="45" t="str">
        <f t="shared" si="1"/>
        <v/>
      </c>
      <c r="M647" s="46" t="str">
        <f>IFERROR(__xludf.DUMMYFUNCTION("IF(Account!$F647&lt;&gt;"""", VALUE(REGEXREPLACE($I647, ""\,"", ""."")), """")"),"")</f>
        <v/>
      </c>
      <c r="N647" s="47" t="str">
        <f>IF(Account!$F647&lt;&gt;"", DATEVALUE(MID($A647,4,3) &amp; LEFT($A647,3) &amp; RIGHT($A647,4)) + TIMEVALUE($B647), "")</f>
        <v/>
      </c>
      <c r="O647" s="48" t="str">
        <f>IF(Account!$F647&lt;&gt;"", DATEVALUE(MID($A647,4,3) &amp; LEFT($A647,3) &amp; RIGHT($A647,4)), "")</f>
        <v/>
      </c>
      <c r="P647" s="49" t="str">
        <f>IFERROR(VLOOKUP($Q647,Selection!$F:$G,2,false))</f>
        <v/>
      </c>
      <c r="Q647" s="50" t="str">
        <f>IF(AND($X647="change",$H647="EUR"),IF(AND($Z647="Crédit",$N647=$N648),$Q648,IF(AND($Z647="Débit",$N647=$N646),$Q646)),IF(OR(AND(OR($E647&lt;&gt;"",$L647=""),$M647&lt;&gt;0),$A647=""),IFERROR(VLOOKUP($E647,Selection!$E:$F,2,false)),IFERROR(VLOOKUP(SUBSTITUTE($I647,"-","",1),$K648:$Q1119,7,false),VLOOKUP($K647,$K648:$Q1119,7,false))))</f>
        <v/>
      </c>
      <c r="R647" s="49" t="str">
        <f t="shared" si="2"/>
        <v/>
      </c>
      <c r="S647" s="51" t="str">
        <f t="shared" si="3"/>
        <v/>
      </c>
      <c r="T647" s="52" t="str">
        <f t="shared" si="4"/>
        <v/>
      </c>
      <c r="U647" s="46" t="str">
        <f t="shared" si="5"/>
        <v/>
      </c>
      <c r="V647" s="53" t="str">
        <f>IFERROR(__xludf.DUMMYFUNCTION(" IF(Account!$F647&lt;&gt;"""", SPLIT(Account!$F647, "" ""), """")"),"")</f>
        <v/>
      </c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</row>
    <row r="648">
      <c r="A648" s="215"/>
      <c r="B648" s="215"/>
      <c r="C648" s="215"/>
      <c r="D648" s="215"/>
      <c r="E648" s="215"/>
      <c r="F648" s="373"/>
      <c r="G648" s="215"/>
      <c r="H648" s="215"/>
      <c r="I648" s="215"/>
      <c r="J648" s="215"/>
      <c r="K648" s="215"/>
      <c r="L648" s="45" t="str">
        <f t="shared" si="1"/>
        <v/>
      </c>
      <c r="M648" s="46" t="str">
        <f>IFERROR(__xludf.DUMMYFUNCTION("IF(Account!$F648&lt;&gt;"""", VALUE(REGEXREPLACE($I648, ""\,"", ""."")), """")"),"")</f>
        <v/>
      </c>
      <c r="N648" s="47" t="str">
        <f>IF(Account!$F648&lt;&gt;"", DATEVALUE(MID($A648,4,3) &amp; LEFT($A648,3) &amp; RIGHT($A648,4)) + TIMEVALUE($B648), "")</f>
        <v/>
      </c>
      <c r="O648" s="48" t="str">
        <f>IF(Account!$F648&lt;&gt;"", DATEVALUE(MID($A648,4,3) &amp; LEFT($A648,3) &amp; RIGHT($A648,4)), "")</f>
        <v/>
      </c>
      <c r="P648" s="49" t="str">
        <f>IFERROR(VLOOKUP($Q648,Selection!$F:$G,2,false))</f>
        <v/>
      </c>
      <c r="Q648" s="50" t="str">
        <f>IF(AND($X648="change",$H648="EUR"),IF(AND($Z648="Crédit",$N648=$N649),$Q649,IF(AND($Z648="Débit",$N648=$N647),$Q647)),IF(OR(AND(OR($E648&lt;&gt;"",$L648=""),$M648&lt;&gt;0),$A648=""),IFERROR(VLOOKUP($E648,Selection!$E:$F,2,false)),IFERROR(VLOOKUP(SUBSTITUTE($I648,"-","",1),$K649:$Q1119,7,false),VLOOKUP($K648,$K649:$Q1119,7,false))))</f>
        <v/>
      </c>
      <c r="R648" s="49" t="str">
        <f t="shared" si="2"/>
        <v/>
      </c>
      <c r="S648" s="51" t="str">
        <f t="shared" si="3"/>
        <v/>
      </c>
      <c r="T648" s="52" t="str">
        <f t="shared" si="4"/>
        <v/>
      </c>
      <c r="U648" s="46" t="str">
        <f t="shared" si="5"/>
        <v/>
      </c>
      <c r="V648" s="53" t="str">
        <f>IFERROR(__xludf.DUMMYFUNCTION(" IF(Account!$F648&lt;&gt;"""", SPLIT(Account!$F648, "" ""), """")"),"")</f>
        <v/>
      </c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</row>
    <row r="649">
      <c r="A649" s="215"/>
      <c r="B649" s="215"/>
      <c r="C649" s="215"/>
      <c r="D649" s="215"/>
      <c r="E649" s="215"/>
      <c r="F649" s="373"/>
      <c r="G649" s="215"/>
      <c r="H649" s="215"/>
      <c r="I649" s="215"/>
      <c r="J649" s="215"/>
      <c r="K649" s="215"/>
      <c r="L649" s="45" t="str">
        <f t="shared" si="1"/>
        <v/>
      </c>
      <c r="M649" s="46" t="str">
        <f>IFERROR(__xludf.DUMMYFUNCTION("IF(Account!$F649&lt;&gt;"""", VALUE(REGEXREPLACE($I649, ""\,"", ""."")), """")"),"")</f>
        <v/>
      </c>
      <c r="N649" s="47" t="str">
        <f>IF(Account!$F649&lt;&gt;"", DATEVALUE(MID($A649,4,3) &amp; LEFT($A649,3) &amp; RIGHT($A649,4)) + TIMEVALUE($B649), "")</f>
        <v/>
      </c>
      <c r="O649" s="48" t="str">
        <f>IF(Account!$F649&lt;&gt;"", DATEVALUE(MID($A649,4,3) &amp; LEFT($A649,3) &amp; RIGHT($A649,4)), "")</f>
        <v/>
      </c>
      <c r="P649" s="49" t="str">
        <f>IFERROR(VLOOKUP($Q649,Selection!$F:$G,2,false))</f>
        <v/>
      </c>
      <c r="Q649" s="50" t="str">
        <f>IF(AND($X649="change",$H649="EUR"),IF(AND($Z649="Crédit",$N649=$N650),$Q650,IF(AND($Z649="Débit",$N649=$N648),$Q648)),IF(OR(AND(OR($E649&lt;&gt;"",$L649=""),$M649&lt;&gt;0),$A649=""),IFERROR(VLOOKUP($E649,Selection!$E:$F,2,false)),IFERROR(VLOOKUP(SUBSTITUTE($I649,"-","",1),$K650:$Q1119,7,false),VLOOKUP($K649,$K650:$Q1119,7,false))))</f>
        <v/>
      </c>
      <c r="R649" s="49" t="str">
        <f t="shared" si="2"/>
        <v/>
      </c>
      <c r="S649" s="51" t="str">
        <f t="shared" si="3"/>
        <v/>
      </c>
      <c r="T649" s="52" t="str">
        <f t="shared" si="4"/>
        <v/>
      </c>
      <c r="U649" s="46" t="str">
        <f t="shared" si="5"/>
        <v/>
      </c>
      <c r="V649" s="53" t="str">
        <f>IFERROR(__xludf.DUMMYFUNCTION(" IF(Account!$F649&lt;&gt;"""", SPLIT(Account!$F649, "" ""), """")"),"")</f>
        <v/>
      </c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</row>
    <row r="650">
      <c r="A650" s="215"/>
      <c r="B650" s="215"/>
      <c r="C650" s="215"/>
      <c r="D650" s="215"/>
      <c r="E650" s="215"/>
      <c r="F650" s="373"/>
      <c r="G650" s="215"/>
      <c r="H650" s="215"/>
      <c r="I650" s="215"/>
      <c r="J650" s="215"/>
      <c r="K650" s="215"/>
      <c r="L650" s="45" t="str">
        <f t="shared" si="1"/>
        <v/>
      </c>
      <c r="M650" s="46" t="str">
        <f>IFERROR(__xludf.DUMMYFUNCTION("IF(Account!$F650&lt;&gt;"""", VALUE(REGEXREPLACE($I650, ""\,"", ""."")), """")"),"")</f>
        <v/>
      </c>
      <c r="N650" s="47" t="str">
        <f>IF(Account!$F650&lt;&gt;"", DATEVALUE(MID($A650,4,3) &amp; LEFT($A650,3) &amp; RIGHT($A650,4)) + TIMEVALUE($B650), "")</f>
        <v/>
      </c>
      <c r="O650" s="48" t="str">
        <f>IF(Account!$F650&lt;&gt;"", DATEVALUE(MID($A650,4,3) &amp; LEFT($A650,3) &amp; RIGHT($A650,4)), "")</f>
        <v/>
      </c>
      <c r="P650" s="49" t="str">
        <f>IFERROR(VLOOKUP($Q650,Selection!$F:$G,2,false))</f>
        <v/>
      </c>
      <c r="Q650" s="50" t="str">
        <f>IF(AND($X650="change",$H650="EUR"),IF(AND($Z650="Crédit",$N650=$N651),$Q651,IF(AND($Z650="Débit",$N650=$N649),$Q649)),IF(OR(AND(OR($E650&lt;&gt;"",$L650=""),$M650&lt;&gt;0),$A650=""),IFERROR(VLOOKUP($E650,Selection!$E:$F,2,false)),IFERROR(VLOOKUP(SUBSTITUTE($I650,"-","",1),$K651:$Q1119,7,false),VLOOKUP($K650,$K651:$Q1119,7,false))))</f>
        <v/>
      </c>
      <c r="R650" s="49" t="str">
        <f t="shared" si="2"/>
        <v/>
      </c>
      <c r="S650" s="51" t="str">
        <f t="shared" si="3"/>
        <v/>
      </c>
      <c r="T650" s="52" t="str">
        <f t="shared" si="4"/>
        <v/>
      </c>
      <c r="U650" s="46" t="str">
        <f t="shared" si="5"/>
        <v/>
      </c>
      <c r="V650" s="53" t="str">
        <f>IFERROR(__xludf.DUMMYFUNCTION(" IF(Account!$F650&lt;&gt;"""", SPLIT(Account!$F650, "" ""), """")"),"")</f>
        <v/>
      </c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</row>
    <row r="651">
      <c r="A651" s="215"/>
      <c r="B651" s="215"/>
      <c r="C651" s="215"/>
      <c r="D651" s="215"/>
      <c r="E651" s="215"/>
      <c r="F651" s="373"/>
      <c r="G651" s="215"/>
      <c r="H651" s="215"/>
      <c r="I651" s="215"/>
      <c r="J651" s="215"/>
      <c r="K651" s="215"/>
      <c r="L651" s="45" t="str">
        <f t="shared" si="1"/>
        <v/>
      </c>
      <c r="M651" s="46" t="str">
        <f>IFERROR(__xludf.DUMMYFUNCTION("IF(Account!$F651&lt;&gt;"""", VALUE(REGEXREPLACE($I651, ""\,"", ""."")), """")"),"")</f>
        <v/>
      </c>
      <c r="N651" s="47" t="str">
        <f>IF(Account!$F651&lt;&gt;"", DATEVALUE(MID($A651,4,3) &amp; LEFT($A651,3) &amp; RIGHT($A651,4)) + TIMEVALUE($B651), "")</f>
        <v/>
      </c>
      <c r="O651" s="48" t="str">
        <f>IF(Account!$F651&lt;&gt;"", DATEVALUE(MID($A651,4,3) &amp; LEFT($A651,3) &amp; RIGHT($A651,4)), "")</f>
        <v/>
      </c>
      <c r="P651" s="49" t="str">
        <f>IFERROR(VLOOKUP($Q651,Selection!$F:$G,2,false))</f>
        <v/>
      </c>
      <c r="Q651" s="50" t="str">
        <f>IF(AND($X651="change",$H651="EUR"),IF(AND($Z651="Crédit",$N651=$N652),$Q652,IF(AND($Z651="Débit",$N651=$N650),$Q650)),IF(OR(AND(OR($E651&lt;&gt;"",$L651=""),$M651&lt;&gt;0),$A651=""),IFERROR(VLOOKUP($E651,Selection!$E:$F,2,false)),IFERROR(VLOOKUP(SUBSTITUTE($I651,"-","",1),$K652:$Q1119,7,false),VLOOKUP($K651,$K652:$Q1119,7,false))))</f>
        <v/>
      </c>
      <c r="R651" s="49" t="str">
        <f t="shared" si="2"/>
        <v/>
      </c>
      <c r="S651" s="51" t="str">
        <f t="shared" si="3"/>
        <v/>
      </c>
      <c r="T651" s="52" t="str">
        <f t="shared" si="4"/>
        <v/>
      </c>
      <c r="U651" s="46" t="str">
        <f t="shared" si="5"/>
        <v/>
      </c>
      <c r="V651" s="53" t="str">
        <f>IFERROR(__xludf.DUMMYFUNCTION(" IF(Account!$F651&lt;&gt;"""", SPLIT(Account!$F651, "" ""), """")"),"")</f>
        <v/>
      </c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</row>
    <row r="652">
      <c r="A652" s="215"/>
      <c r="B652" s="215"/>
      <c r="C652" s="215"/>
      <c r="D652" s="215"/>
      <c r="E652" s="215"/>
      <c r="F652" s="373"/>
      <c r="G652" s="215"/>
      <c r="H652" s="215"/>
      <c r="I652" s="215"/>
      <c r="J652" s="215"/>
      <c r="K652" s="215"/>
      <c r="L652" s="45" t="str">
        <f t="shared" si="1"/>
        <v/>
      </c>
      <c r="M652" s="46" t="str">
        <f>IFERROR(__xludf.DUMMYFUNCTION("IF(Account!$F652&lt;&gt;"""", VALUE(REGEXREPLACE($I652, ""\,"", ""."")), """")"),"")</f>
        <v/>
      </c>
      <c r="N652" s="47" t="str">
        <f>IF(Account!$F652&lt;&gt;"", DATEVALUE(MID($A652,4,3) &amp; LEFT($A652,3) &amp; RIGHT($A652,4)) + TIMEVALUE($B652), "")</f>
        <v/>
      </c>
      <c r="O652" s="48" t="str">
        <f>IF(Account!$F652&lt;&gt;"", DATEVALUE(MID($A652,4,3) &amp; LEFT($A652,3) &amp; RIGHT($A652,4)), "")</f>
        <v/>
      </c>
      <c r="P652" s="49" t="str">
        <f>IFERROR(VLOOKUP($Q652,Selection!$F:$G,2,false))</f>
        <v/>
      </c>
      <c r="Q652" s="50" t="str">
        <f>IF(AND($X652="change",$H652="EUR"),IF(AND($Z652="Crédit",$N652=$N653),$Q653,IF(AND($Z652="Débit",$N652=$N651),$Q651)),IF(OR(AND(OR($E652&lt;&gt;"",$L652=""),$M652&lt;&gt;0),$A652=""),IFERROR(VLOOKUP($E652,Selection!$E:$F,2,false)),IFERROR(VLOOKUP(SUBSTITUTE($I652,"-","",1),$K653:$Q1119,7,false),VLOOKUP($K652,$K653:$Q1119,7,false))))</f>
        <v/>
      </c>
      <c r="R652" s="49" t="str">
        <f t="shared" si="2"/>
        <v/>
      </c>
      <c r="S652" s="51" t="str">
        <f t="shared" si="3"/>
        <v/>
      </c>
      <c r="T652" s="52" t="str">
        <f t="shared" si="4"/>
        <v/>
      </c>
      <c r="U652" s="46" t="str">
        <f t="shared" si="5"/>
        <v/>
      </c>
      <c r="V652" s="53" t="str">
        <f>IFERROR(__xludf.DUMMYFUNCTION(" IF(Account!$F652&lt;&gt;"""", SPLIT(Account!$F652, "" ""), """")"),"")</f>
        <v/>
      </c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</row>
    <row r="653">
      <c r="A653" s="215"/>
      <c r="B653" s="215"/>
      <c r="C653" s="215"/>
      <c r="D653" s="215"/>
      <c r="E653" s="215"/>
      <c r="F653" s="373"/>
      <c r="G653" s="215"/>
      <c r="H653" s="215"/>
      <c r="I653" s="215"/>
      <c r="J653" s="215"/>
      <c r="K653" s="215"/>
      <c r="L653" s="45" t="str">
        <f t="shared" si="1"/>
        <v/>
      </c>
      <c r="M653" s="46" t="str">
        <f>IFERROR(__xludf.DUMMYFUNCTION("IF(Account!$F653&lt;&gt;"""", VALUE(REGEXREPLACE($I653, ""\,"", ""."")), """")"),"")</f>
        <v/>
      </c>
      <c r="N653" s="47" t="str">
        <f>IF(Account!$F653&lt;&gt;"", DATEVALUE(MID($A653,4,3) &amp; LEFT($A653,3) &amp; RIGHT($A653,4)) + TIMEVALUE($B653), "")</f>
        <v/>
      </c>
      <c r="O653" s="48" t="str">
        <f>IF(Account!$F653&lt;&gt;"", DATEVALUE(MID($A653,4,3) &amp; LEFT($A653,3) &amp; RIGHT($A653,4)), "")</f>
        <v/>
      </c>
      <c r="P653" s="49" t="str">
        <f>IFERROR(VLOOKUP($Q653,Selection!$F:$G,2,false))</f>
        <v/>
      </c>
      <c r="Q653" s="50" t="str">
        <f>IF(AND($X653="change",$H653="EUR"),IF(AND($Z653="Crédit",$N653=$N654),$Q654,IF(AND($Z653="Débit",$N653=$N652),$Q652)),IF(OR(AND(OR($E653&lt;&gt;"",$L653=""),$M653&lt;&gt;0),$A653=""),IFERROR(VLOOKUP($E653,Selection!$E:$F,2,false)),IFERROR(VLOOKUP(SUBSTITUTE($I653,"-","",1),$K654:$Q1119,7,false),VLOOKUP($K653,$K654:$Q1119,7,false))))</f>
        <v/>
      </c>
      <c r="R653" s="49" t="str">
        <f t="shared" si="2"/>
        <v/>
      </c>
      <c r="S653" s="51" t="str">
        <f t="shared" si="3"/>
        <v/>
      </c>
      <c r="T653" s="52" t="str">
        <f t="shared" si="4"/>
        <v/>
      </c>
      <c r="U653" s="46" t="str">
        <f t="shared" si="5"/>
        <v/>
      </c>
      <c r="V653" s="53" t="str">
        <f>IFERROR(__xludf.DUMMYFUNCTION(" IF(Account!$F653&lt;&gt;"""", SPLIT(Account!$F653, "" ""), """")"),"")</f>
        <v/>
      </c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</row>
    <row r="654">
      <c r="A654" s="215"/>
      <c r="B654" s="215"/>
      <c r="C654" s="215"/>
      <c r="D654" s="215"/>
      <c r="E654" s="215"/>
      <c r="F654" s="373"/>
      <c r="G654" s="215"/>
      <c r="H654" s="215"/>
      <c r="I654" s="215"/>
      <c r="J654" s="215"/>
      <c r="K654" s="215"/>
      <c r="L654" s="45" t="str">
        <f t="shared" si="1"/>
        <v/>
      </c>
      <c r="M654" s="46" t="str">
        <f>IFERROR(__xludf.DUMMYFUNCTION("IF(Account!$F654&lt;&gt;"""", VALUE(REGEXREPLACE($I654, ""\,"", ""."")), """")"),"")</f>
        <v/>
      </c>
      <c r="N654" s="47" t="str">
        <f>IF(Account!$F654&lt;&gt;"", DATEVALUE(MID($A654,4,3) &amp; LEFT($A654,3) &amp; RIGHT($A654,4)) + TIMEVALUE($B654), "")</f>
        <v/>
      </c>
      <c r="O654" s="48" t="str">
        <f>IF(Account!$F654&lt;&gt;"", DATEVALUE(MID($A654,4,3) &amp; LEFT($A654,3) &amp; RIGHT($A654,4)), "")</f>
        <v/>
      </c>
      <c r="P654" s="49" t="str">
        <f>IFERROR(VLOOKUP($Q654,Selection!$F:$G,2,false))</f>
        <v/>
      </c>
      <c r="Q654" s="50" t="str">
        <f>IF(AND($X654="change",$H654="EUR"),IF(AND($Z654="Crédit",$N654=$N655),$Q655,IF(AND($Z654="Débit",$N654=$N653),$Q653)),IF(OR(AND(OR($E654&lt;&gt;"",$L654=""),$M654&lt;&gt;0),$A654=""),IFERROR(VLOOKUP($E654,Selection!$E:$F,2,false)),IFERROR(VLOOKUP(SUBSTITUTE($I654,"-","",1),$K655:$Q1119,7,false),VLOOKUP($K654,$K655:$Q1119,7,false))))</f>
        <v/>
      </c>
      <c r="R654" s="49" t="str">
        <f t="shared" si="2"/>
        <v/>
      </c>
      <c r="S654" s="51" t="str">
        <f t="shared" si="3"/>
        <v/>
      </c>
      <c r="T654" s="52" t="str">
        <f t="shared" si="4"/>
        <v/>
      </c>
      <c r="U654" s="46" t="str">
        <f t="shared" si="5"/>
        <v/>
      </c>
      <c r="V654" s="53" t="str">
        <f>IFERROR(__xludf.DUMMYFUNCTION(" IF(Account!$F654&lt;&gt;"""", SPLIT(Account!$F654, "" ""), """")"),"")</f>
        <v/>
      </c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</row>
    <row r="655">
      <c r="A655" s="215"/>
      <c r="B655" s="215"/>
      <c r="C655" s="215"/>
      <c r="D655" s="215"/>
      <c r="E655" s="215"/>
      <c r="F655" s="373"/>
      <c r="G655" s="215"/>
      <c r="H655" s="215"/>
      <c r="I655" s="215"/>
      <c r="J655" s="215"/>
      <c r="K655" s="215"/>
      <c r="L655" s="45" t="str">
        <f t="shared" si="1"/>
        <v/>
      </c>
      <c r="M655" s="46" t="str">
        <f>IFERROR(__xludf.DUMMYFUNCTION("IF(Account!$F655&lt;&gt;"""", VALUE(REGEXREPLACE($I655, ""\,"", ""."")), """")"),"")</f>
        <v/>
      </c>
      <c r="N655" s="47" t="str">
        <f>IF(Account!$F655&lt;&gt;"", DATEVALUE(MID($A655,4,3) &amp; LEFT($A655,3) &amp; RIGHT($A655,4)) + TIMEVALUE($B655), "")</f>
        <v/>
      </c>
      <c r="O655" s="48" t="str">
        <f>IF(Account!$F655&lt;&gt;"", DATEVALUE(MID($A655,4,3) &amp; LEFT($A655,3) &amp; RIGHT($A655,4)), "")</f>
        <v/>
      </c>
      <c r="P655" s="49" t="str">
        <f>IFERROR(VLOOKUP($Q655,Selection!$F:$G,2,false))</f>
        <v/>
      </c>
      <c r="Q655" s="50" t="str">
        <f>IF(AND($X655="change",$H655="EUR"),IF(AND($Z655="Crédit",$N655=$N656),$Q656,IF(AND($Z655="Débit",$N655=$N654),$Q654)),IF(OR(AND(OR($E655&lt;&gt;"",$L655=""),$M655&lt;&gt;0),$A655=""),IFERROR(VLOOKUP($E655,Selection!$E:$F,2,false)),IFERROR(VLOOKUP(SUBSTITUTE($I655,"-","",1),$K656:$Q1119,7,false),VLOOKUP($K655,$K656:$Q1119,7,false))))</f>
        <v/>
      </c>
      <c r="R655" s="49" t="str">
        <f t="shared" si="2"/>
        <v/>
      </c>
      <c r="S655" s="51" t="str">
        <f t="shared" si="3"/>
        <v/>
      </c>
      <c r="T655" s="52" t="str">
        <f t="shared" si="4"/>
        <v/>
      </c>
      <c r="U655" s="46" t="str">
        <f t="shared" si="5"/>
        <v/>
      </c>
      <c r="V655" s="53" t="str">
        <f>IFERROR(__xludf.DUMMYFUNCTION(" IF(Account!$F655&lt;&gt;"""", SPLIT(Account!$F655, "" ""), """")"),"")</f>
        <v/>
      </c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</row>
    <row r="656">
      <c r="A656" s="215"/>
      <c r="B656" s="215"/>
      <c r="C656" s="215"/>
      <c r="D656" s="215"/>
      <c r="E656" s="215"/>
      <c r="F656" s="373"/>
      <c r="G656" s="215"/>
      <c r="H656" s="215"/>
      <c r="I656" s="215"/>
      <c r="J656" s="215"/>
      <c r="K656" s="215"/>
      <c r="L656" s="45" t="str">
        <f t="shared" si="1"/>
        <v/>
      </c>
      <c r="M656" s="46" t="str">
        <f>IFERROR(__xludf.DUMMYFUNCTION("IF(Account!$F656&lt;&gt;"""", VALUE(REGEXREPLACE($I656, ""\,"", ""."")), """")"),"")</f>
        <v/>
      </c>
      <c r="N656" s="47" t="str">
        <f>IF(Account!$F656&lt;&gt;"", DATEVALUE(MID($A656,4,3) &amp; LEFT($A656,3) &amp; RIGHT($A656,4)) + TIMEVALUE($B656), "")</f>
        <v/>
      </c>
      <c r="O656" s="48" t="str">
        <f>IF(Account!$F656&lt;&gt;"", DATEVALUE(MID($A656,4,3) &amp; LEFT($A656,3) &amp; RIGHT($A656,4)), "")</f>
        <v/>
      </c>
      <c r="P656" s="49" t="str">
        <f>IFERROR(VLOOKUP($Q656,Selection!$F:$G,2,false))</f>
        <v/>
      </c>
      <c r="Q656" s="50" t="str">
        <f>IF(AND($X656="change",$H656="EUR"),IF(AND($Z656="Crédit",$N656=$N657),$Q657,IF(AND($Z656="Débit",$N656=$N655),$Q655)),IF(OR(AND(OR($E656&lt;&gt;"",$L656=""),$M656&lt;&gt;0),$A656=""),IFERROR(VLOOKUP($E656,Selection!$E:$F,2,false)),IFERROR(VLOOKUP(SUBSTITUTE($I656,"-","",1),$K657:$Q1119,7,false),VLOOKUP($K656,$K657:$Q1119,7,false))))</f>
        <v/>
      </c>
      <c r="R656" s="49" t="str">
        <f t="shared" si="2"/>
        <v/>
      </c>
      <c r="S656" s="51" t="str">
        <f t="shared" si="3"/>
        <v/>
      </c>
      <c r="T656" s="52" t="str">
        <f t="shared" si="4"/>
        <v/>
      </c>
      <c r="U656" s="46" t="str">
        <f t="shared" si="5"/>
        <v/>
      </c>
      <c r="V656" s="53" t="str">
        <f>IFERROR(__xludf.DUMMYFUNCTION(" IF(Account!$F656&lt;&gt;"""", SPLIT(Account!$F656, "" ""), """")"),"")</f>
        <v/>
      </c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</row>
    <row r="657">
      <c r="A657" s="215"/>
      <c r="B657" s="215"/>
      <c r="C657" s="215"/>
      <c r="D657" s="215"/>
      <c r="E657" s="215"/>
      <c r="F657" s="373"/>
      <c r="G657" s="215"/>
      <c r="H657" s="215"/>
      <c r="I657" s="215"/>
      <c r="J657" s="215"/>
      <c r="K657" s="215"/>
      <c r="L657" s="45" t="str">
        <f t="shared" si="1"/>
        <v/>
      </c>
      <c r="M657" s="46" t="str">
        <f>IFERROR(__xludf.DUMMYFUNCTION("IF(Account!$F657&lt;&gt;"""", VALUE(REGEXREPLACE($I657, ""\,"", ""."")), """")"),"")</f>
        <v/>
      </c>
      <c r="N657" s="47" t="str">
        <f>IF(Account!$F657&lt;&gt;"", DATEVALUE(MID($A657,4,3) &amp; LEFT($A657,3) &amp; RIGHT($A657,4)) + TIMEVALUE($B657), "")</f>
        <v/>
      </c>
      <c r="O657" s="48" t="str">
        <f>IF(Account!$F657&lt;&gt;"", DATEVALUE(MID($A657,4,3) &amp; LEFT($A657,3) &amp; RIGHT($A657,4)), "")</f>
        <v/>
      </c>
      <c r="P657" s="49" t="str">
        <f>IFERROR(VLOOKUP($Q657,Selection!$F:$G,2,false))</f>
        <v/>
      </c>
      <c r="Q657" s="50" t="str">
        <f>IF(AND($X657="change",$H657="EUR"),IF(AND($Z657="Crédit",$N657=$N658),$Q658,IF(AND($Z657="Débit",$N657=$N656),$Q656)),IF(OR(AND(OR($E657&lt;&gt;"",$L657=""),$M657&lt;&gt;0),$A657=""),IFERROR(VLOOKUP($E657,Selection!$E:$F,2,false)),IFERROR(VLOOKUP(SUBSTITUTE($I657,"-","",1),$K658:$Q1119,7,false),VLOOKUP($K657,$K658:$Q1119,7,false))))</f>
        <v/>
      </c>
      <c r="R657" s="49" t="str">
        <f t="shared" si="2"/>
        <v/>
      </c>
      <c r="S657" s="51" t="str">
        <f t="shared" si="3"/>
        <v/>
      </c>
      <c r="T657" s="52" t="str">
        <f t="shared" si="4"/>
        <v/>
      </c>
      <c r="U657" s="46" t="str">
        <f t="shared" si="5"/>
        <v/>
      </c>
      <c r="V657" s="53" t="str">
        <f>IFERROR(__xludf.DUMMYFUNCTION(" IF(Account!$F657&lt;&gt;"""", SPLIT(Account!$F657, "" ""), """")"),"")</f>
        <v/>
      </c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</row>
    <row r="658">
      <c r="A658" s="215"/>
      <c r="B658" s="215"/>
      <c r="C658" s="215"/>
      <c r="D658" s="215"/>
      <c r="E658" s="215"/>
      <c r="F658" s="373"/>
      <c r="G658" s="215"/>
      <c r="H658" s="215"/>
      <c r="I658" s="215"/>
      <c r="J658" s="215"/>
      <c r="K658" s="215"/>
      <c r="L658" s="45" t="str">
        <f t="shared" si="1"/>
        <v/>
      </c>
      <c r="M658" s="46" t="str">
        <f>IFERROR(__xludf.DUMMYFUNCTION("IF(Account!$F658&lt;&gt;"""", VALUE(REGEXREPLACE($I658, ""\,"", ""."")), """")"),"")</f>
        <v/>
      </c>
      <c r="N658" s="47" t="str">
        <f>IF(Account!$F658&lt;&gt;"", DATEVALUE(MID($A658,4,3) &amp; LEFT($A658,3) &amp; RIGHT($A658,4)) + TIMEVALUE($B658), "")</f>
        <v/>
      </c>
      <c r="O658" s="48" t="str">
        <f>IF(Account!$F658&lt;&gt;"", DATEVALUE(MID($A658,4,3) &amp; LEFT($A658,3) &amp; RIGHT($A658,4)), "")</f>
        <v/>
      </c>
      <c r="P658" s="49" t="str">
        <f>IFERROR(VLOOKUP($Q658,Selection!$F:$G,2,false))</f>
        <v/>
      </c>
      <c r="Q658" s="50" t="str">
        <f>IF(AND($X658="change",$H658="EUR"),IF(AND($Z658="Crédit",$N658=$N659),$Q659,IF(AND($Z658="Débit",$N658=$N657),$Q657)),IF(OR(AND(OR($E658&lt;&gt;"",$L658=""),$M658&lt;&gt;0),$A658=""),IFERROR(VLOOKUP($E658,Selection!$E:$F,2,false)),IFERROR(VLOOKUP(SUBSTITUTE($I658,"-","",1),$K659:$Q1119,7,false),VLOOKUP($K658,$K659:$Q1119,7,false))))</f>
        <v/>
      </c>
      <c r="R658" s="49" t="str">
        <f t="shared" si="2"/>
        <v/>
      </c>
      <c r="S658" s="51" t="str">
        <f t="shared" si="3"/>
        <v/>
      </c>
      <c r="T658" s="52" t="str">
        <f t="shared" si="4"/>
        <v/>
      </c>
      <c r="U658" s="46" t="str">
        <f t="shared" si="5"/>
        <v/>
      </c>
      <c r="V658" s="53" t="str">
        <f>IFERROR(__xludf.DUMMYFUNCTION(" IF(Account!$F658&lt;&gt;"""", SPLIT(Account!$F658, "" ""), """")"),"")</f>
        <v/>
      </c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</row>
    <row r="659">
      <c r="A659" s="215"/>
      <c r="B659" s="215"/>
      <c r="C659" s="215"/>
      <c r="D659" s="215"/>
      <c r="E659" s="215"/>
      <c r="F659" s="373"/>
      <c r="G659" s="215"/>
      <c r="H659" s="215"/>
      <c r="I659" s="215"/>
      <c r="J659" s="215"/>
      <c r="K659" s="215"/>
      <c r="L659" s="45" t="str">
        <f t="shared" si="1"/>
        <v/>
      </c>
      <c r="M659" s="46" t="str">
        <f>IFERROR(__xludf.DUMMYFUNCTION("IF(Account!$F659&lt;&gt;"""", VALUE(REGEXREPLACE($I659, ""\,"", ""."")), """")"),"")</f>
        <v/>
      </c>
      <c r="N659" s="47" t="str">
        <f>IF(Account!$F659&lt;&gt;"", DATEVALUE(MID($A659,4,3) &amp; LEFT($A659,3) &amp; RIGHT($A659,4)) + TIMEVALUE($B659), "")</f>
        <v/>
      </c>
      <c r="O659" s="48" t="str">
        <f>IF(Account!$F659&lt;&gt;"", DATEVALUE(MID($A659,4,3) &amp; LEFT($A659,3) &amp; RIGHT($A659,4)), "")</f>
        <v/>
      </c>
      <c r="P659" s="49" t="str">
        <f>IFERROR(VLOOKUP($Q659,Selection!$F:$G,2,false))</f>
        <v/>
      </c>
      <c r="Q659" s="50" t="str">
        <f>IF(AND($X659="change",$H659="EUR"),IF(AND($Z659="Crédit",$N659=$N660),$Q660,IF(AND($Z659="Débit",$N659=$N658),$Q658)),IF(OR(AND(OR($E659&lt;&gt;"",$L659=""),$M659&lt;&gt;0),$A659=""),IFERROR(VLOOKUP($E659,Selection!$E:$F,2,false)),IFERROR(VLOOKUP(SUBSTITUTE($I659,"-","",1),$K660:$Q1119,7,false),VLOOKUP($K659,$K660:$Q1119,7,false))))</f>
        <v/>
      </c>
      <c r="R659" s="49" t="str">
        <f t="shared" si="2"/>
        <v/>
      </c>
      <c r="S659" s="51" t="str">
        <f t="shared" si="3"/>
        <v/>
      </c>
      <c r="T659" s="52" t="str">
        <f t="shared" si="4"/>
        <v/>
      </c>
      <c r="U659" s="46" t="str">
        <f t="shared" si="5"/>
        <v/>
      </c>
      <c r="V659" s="53" t="str">
        <f>IFERROR(__xludf.DUMMYFUNCTION(" IF(Account!$F659&lt;&gt;"""", SPLIT(Account!$F659, "" ""), """")"),"")</f>
        <v/>
      </c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</row>
    <row r="660">
      <c r="A660" s="215"/>
      <c r="B660" s="215"/>
      <c r="C660" s="215"/>
      <c r="D660" s="215"/>
      <c r="E660" s="215"/>
      <c r="F660" s="373"/>
      <c r="G660" s="215"/>
      <c r="H660" s="215"/>
      <c r="I660" s="215"/>
      <c r="J660" s="215"/>
      <c r="K660" s="215"/>
      <c r="L660" s="45" t="str">
        <f t="shared" si="1"/>
        <v/>
      </c>
      <c r="M660" s="46" t="str">
        <f>IFERROR(__xludf.DUMMYFUNCTION("IF(Account!$F660&lt;&gt;"""", VALUE(REGEXREPLACE($I660, ""\,"", ""."")), """")"),"")</f>
        <v/>
      </c>
      <c r="N660" s="47" t="str">
        <f>IF(Account!$F660&lt;&gt;"", DATEVALUE(MID($A660,4,3) &amp; LEFT($A660,3) &amp; RIGHT($A660,4)) + TIMEVALUE($B660), "")</f>
        <v/>
      </c>
      <c r="O660" s="48" t="str">
        <f>IF(Account!$F660&lt;&gt;"", DATEVALUE(MID($A660,4,3) &amp; LEFT($A660,3) &amp; RIGHT($A660,4)), "")</f>
        <v/>
      </c>
      <c r="P660" s="49" t="str">
        <f>IFERROR(VLOOKUP($Q660,Selection!$F:$G,2,false))</f>
        <v/>
      </c>
      <c r="Q660" s="50" t="str">
        <f>IF(AND($X660="change",$H660="EUR"),IF(AND($Z660="Crédit",$N660=$N661),$Q661,IF(AND($Z660="Débit",$N660=$N659),$Q659)),IF(OR(AND(OR($E660&lt;&gt;"",$L660=""),$M660&lt;&gt;0),$A660=""),IFERROR(VLOOKUP($E660,Selection!$E:$F,2,false)),IFERROR(VLOOKUP(SUBSTITUTE($I660,"-","",1),$K661:$Q1119,7,false),VLOOKUP($K660,$K661:$Q1119,7,false))))</f>
        <v/>
      </c>
      <c r="R660" s="49" t="str">
        <f t="shared" si="2"/>
        <v/>
      </c>
      <c r="S660" s="51" t="str">
        <f t="shared" si="3"/>
        <v/>
      </c>
      <c r="T660" s="52" t="str">
        <f t="shared" si="4"/>
        <v/>
      </c>
      <c r="U660" s="46" t="str">
        <f t="shared" si="5"/>
        <v/>
      </c>
      <c r="V660" s="53" t="str">
        <f>IFERROR(__xludf.DUMMYFUNCTION(" IF(Account!$F660&lt;&gt;"""", SPLIT(Account!$F660, "" ""), """")"),"")</f>
        <v/>
      </c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</row>
    <row r="661">
      <c r="A661" s="215"/>
      <c r="B661" s="215"/>
      <c r="C661" s="215"/>
      <c r="D661" s="215"/>
      <c r="E661" s="215"/>
      <c r="F661" s="373"/>
      <c r="G661" s="215"/>
      <c r="H661" s="215"/>
      <c r="I661" s="215"/>
      <c r="J661" s="215"/>
      <c r="K661" s="215"/>
      <c r="L661" s="45" t="str">
        <f t="shared" si="1"/>
        <v/>
      </c>
      <c r="M661" s="46" t="str">
        <f>IFERROR(__xludf.DUMMYFUNCTION("IF(Account!$F661&lt;&gt;"""", VALUE(REGEXREPLACE($I661, ""\,"", ""."")), """")"),"")</f>
        <v/>
      </c>
      <c r="N661" s="47" t="str">
        <f>IF(Account!$F661&lt;&gt;"", DATEVALUE(MID($A661,4,3) &amp; LEFT($A661,3) &amp; RIGHT($A661,4)) + TIMEVALUE($B661), "")</f>
        <v/>
      </c>
      <c r="O661" s="48" t="str">
        <f>IF(Account!$F661&lt;&gt;"", DATEVALUE(MID($A661,4,3) &amp; LEFT($A661,3) &amp; RIGHT($A661,4)), "")</f>
        <v/>
      </c>
      <c r="P661" s="49" t="str">
        <f>IFERROR(VLOOKUP($Q661,Selection!$F:$G,2,false))</f>
        <v/>
      </c>
      <c r="Q661" s="50" t="str">
        <f>IF(AND($X661="change",$H661="EUR"),IF(AND($Z661="Crédit",$N661=$N662),$Q662,IF(AND($Z661="Débit",$N661=$N660),$Q660)),IF(OR(AND(OR($E661&lt;&gt;"",$L661=""),$M661&lt;&gt;0),$A661=""),IFERROR(VLOOKUP($E661,Selection!$E:$F,2,false)),IFERROR(VLOOKUP(SUBSTITUTE($I661,"-","",1),$K662:$Q1119,7,false),VLOOKUP($K661,$K662:$Q1119,7,false))))</f>
        <v/>
      </c>
      <c r="R661" s="49" t="str">
        <f t="shared" si="2"/>
        <v/>
      </c>
      <c r="S661" s="51" t="str">
        <f t="shared" si="3"/>
        <v/>
      </c>
      <c r="T661" s="52" t="str">
        <f t="shared" si="4"/>
        <v/>
      </c>
      <c r="U661" s="46" t="str">
        <f t="shared" si="5"/>
        <v/>
      </c>
      <c r="V661" s="53" t="str">
        <f>IFERROR(__xludf.DUMMYFUNCTION(" IF(Account!$F661&lt;&gt;"""", SPLIT(Account!$F661, "" ""), """")"),"")</f>
        <v/>
      </c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</row>
    <row r="662">
      <c r="A662" s="215"/>
      <c r="B662" s="215"/>
      <c r="C662" s="215"/>
      <c r="D662" s="215"/>
      <c r="E662" s="215"/>
      <c r="F662" s="373"/>
      <c r="G662" s="215"/>
      <c r="H662" s="215"/>
      <c r="I662" s="215"/>
      <c r="J662" s="215"/>
      <c r="K662" s="215"/>
      <c r="L662" s="45" t="str">
        <f t="shared" si="1"/>
        <v/>
      </c>
      <c r="M662" s="46" t="str">
        <f>IFERROR(__xludf.DUMMYFUNCTION("IF(Account!$F662&lt;&gt;"""", VALUE(REGEXREPLACE($I662, ""\,"", ""."")), """")"),"")</f>
        <v/>
      </c>
      <c r="N662" s="47" t="str">
        <f>IF(Account!$F662&lt;&gt;"", DATEVALUE(MID($A662,4,3) &amp; LEFT($A662,3) &amp; RIGHT($A662,4)) + TIMEVALUE($B662), "")</f>
        <v/>
      </c>
      <c r="O662" s="48" t="str">
        <f>IF(Account!$F662&lt;&gt;"", DATEVALUE(MID($A662,4,3) &amp; LEFT($A662,3) &amp; RIGHT($A662,4)), "")</f>
        <v/>
      </c>
      <c r="P662" s="49" t="str">
        <f>IFERROR(VLOOKUP($Q662,Selection!$F:$G,2,false))</f>
        <v/>
      </c>
      <c r="Q662" s="50" t="str">
        <f>IF(AND($X662="change",$H662="EUR"),IF(AND($Z662="Crédit",$N662=$N663),$Q663,IF(AND($Z662="Débit",$N662=$N661),$Q661)),IF(OR(AND(OR($E662&lt;&gt;"",$L662=""),$M662&lt;&gt;0),$A662=""),IFERROR(VLOOKUP($E662,Selection!$E:$F,2,false)),IFERROR(VLOOKUP(SUBSTITUTE($I662,"-","",1),$K663:$Q1119,7,false),VLOOKUP($K662,$K663:$Q1119,7,false))))</f>
        <v/>
      </c>
      <c r="R662" s="49" t="str">
        <f t="shared" si="2"/>
        <v/>
      </c>
      <c r="S662" s="51" t="str">
        <f t="shared" si="3"/>
        <v/>
      </c>
      <c r="T662" s="52" t="str">
        <f t="shared" si="4"/>
        <v/>
      </c>
      <c r="U662" s="46" t="str">
        <f t="shared" si="5"/>
        <v/>
      </c>
      <c r="V662" s="53" t="str">
        <f>IFERROR(__xludf.DUMMYFUNCTION(" IF(Account!$F662&lt;&gt;"""", SPLIT(Account!$F662, "" ""), """")"),"")</f>
        <v/>
      </c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</row>
    <row r="663">
      <c r="A663" s="215"/>
      <c r="B663" s="215"/>
      <c r="C663" s="215"/>
      <c r="D663" s="215"/>
      <c r="E663" s="215"/>
      <c r="F663" s="373"/>
      <c r="G663" s="215"/>
      <c r="H663" s="215"/>
      <c r="I663" s="215"/>
      <c r="J663" s="215"/>
      <c r="K663" s="215"/>
      <c r="L663" s="45" t="str">
        <f t="shared" si="1"/>
        <v/>
      </c>
      <c r="M663" s="46" t="str">
        <f>IFERROR(__xludf.DUMMYFUNCTION("IF(Account!$F663&lt;&gt;"""", VALUE(REGEXREPLACE($I663, ""\,"", ""."")), """")"),"")</f>
        <v/>
      </c>
      <c r="N663" s="47" t="str">
        <f>IF(Account!$F663&lt;&gt;"", DATEVALUE(MID($A663,4,3) &amp; LEFT($A663,3) &amp; RIGHT($A663,4)) + TIMEVALUE($B663), "")</f>
        <v/>
      </c>
      <c r="O663" s="48" t="str">
        <f>IF(Account!$F663&lt;&gt;"", DATEVALUE(MID($A663,4,3) &amp; LEFT($A663,3) &amp; RIGHT($A663,4)), "")</f>
        <v/>
      </c>
      <c r="P663" s="49" t="str">
        <f>IFERROR(VLOOKUP($Q663,Selection!$F:$G,2,false))</f>
        <v/>
      </c>
      <c r="Q663" s="50" t="str">
        <f>IF(AND($X663="change",$H663="EUR"),IF(AND($Z663="Crédit",$N663=$N664),$Q664,IF(AND($Z663="Débit",$N663=$N662),$Q662)),IF(OR(AND(OR($E663&lt;&gt;"",$L663=""),$M663&lt;&gt;0),$A663=""),IFERROR(VLOOKUP($E663,Selection!$E:$F,2,false)),IFERROR(VLOOKUP(SUBSTITUTE($I663,"-","",1),$K664:$Q1119,7,false),VLOOKUP($K663,$K664:$Q1119,7,false))))</f>
        <v/>
      </c>
      <c r="R663" s="49" t="str">
        <f t="shared" si="2"/>
        <v/>
      </c>
      <c r="S663" s="51" t="str">
        <f t="shared" si="3"/>
        <v/>
      </c>
      <c r="T663" s="52" t="str">
        <f t="shared" si="4"/>
        <v/>
      </c>
      <c r="U663" s="46" t="str">
        <f t="shared" si="5"/>
        <v/>
      </c>
      <c r="V663" s="53" t="str">
        <f>IFERROR(__xludf.DUMMYFUNCTION(" IF(Account!$F663&lt;&gt;"""", SPLIT(Account!$F663, "" ""), """")"),"")</f>
        <v/>
      </c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</row>
    <row r="664">
      <c r="A664" s="215"/>
      <c r="B664" s="215"/>
      <c r="C664" s="215"/>
      <c r="D664" s="215"/>
      <c r="E664" s="215"/>
      <c r="F664" s="373"/>
      <c r="G664" s="215"/>
      <c r="H664" s="215"/>
      <c r="I664" s="215"/>
      <c r="J664" s="215"/>
      <c r="K664" s="215"/>
      <c r="L664" s="45" t="str">
        <f t="shared" si="1"/>
        <v/>
      </c>
      <c r="M664" s="46" t="str">
        <f>IFERROR(__xludf.DUMMYFUNCTION("IF(Account!$F664&lt;&gt;"""", VALUE(REGEXREPLACE($I664, ""\,"", ""."")), """")"),"")</f>
        <v/>
      </c>
      <c r="N664" s="47" t="str">
        <f>IF(Account!$F664&lt;&gt;"", DATEVALUE(MID($A664,4,3) &amp; LEFT($A664,3) &amp; RIGHT($A664,4)) + TIMEVALUE($B664), "")</f>
        <v/>
      </c>
      <c r="O664" s="48" t="str">
        <f>IF(Account!$F664&lt;&gt;"", DATEVALUE(MID($A664,4,3) &amp; LEFT($A664,3) &amp; RIGHT($A664,4)), "")</f>
        <v/>
      </c>
      <c r="P664" s="49" t="str">
        <f>IFERROR(VLOOKUP($Q664,Selection!$F:$G,2,false))</f>
        <v/>
      </c>
      <c r="Q664" s="50" t="str">
        <f>IF(AND($X664="change",$H664="EUR"),IF(AND($Z664="Crédit",$N664=$N665),$Q665,IF(AND($Z664="Débit",$N664=$N663),$Q663)),IF(OR(AND(OR($E664&lt;&gt;"",$L664=""),$M664&lt;&gt;0),$A664=""),IFERROR(VLOOKUP($E664,Selection!$E:$F,2,false)),IFERROR(VLOOKUP(SUBSTITUTE($I664,"-","",1),$K665:$Q1119,7,false),VLOOKUP($K664,$K665:$Q1119,7,false))))</f>
        <v/>
      </c>
      <c r="R664" s="49" t="str">
        <f t="shared" si="2"/>
        <v/>
      </c>
      <c r="S664" s="51" t="str">
        <f t="shared" si="3"/>
        <v/>
      </c>
      <c r="T664" s="52" t="str">
        <f t="shared" si="4"/>
        <v/>
      </c>
      <c r="U664" s="46" t="str">
        <f t="shared" si="5"/>
        <v/>
      </c>
      <c r="V664" s="53" t="str">
        <f>IFERROR(__xludf.DUMMYFUNCTION(" IF(Account!$F664&lt;&gt;"""", SPLIT(Account!$F664, "" ""), """")"),"")</f>
        <v/>
      </c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</row>
    <row r="665">
      <c r="A665" s="215"/>
      <c r="B665" s="215"/>
      <c r="C665" s="215"/>
      <c r="D665" s="215"/>
      <c r="E665" s="215"/>
      <c r="F665" s="373"/>
      <c r="G665" s="215"/>
      <c r="H665" s="215"/>
      <c r="I665" s="215"/>
      <c r="J665" s="215"/>
      <c r="K665" s="215"/>
      <c r="L665" s="45" t="str">
        <f t="shared" si="1"/>
        <v/>
      </c>
      <c r="M665" s="46" t="str">
        <f>IFERROR(__xludf.DUMMYFUNCTION("IF(Account!$F665&lt;&gt;"""", VALUE(REGEXREPLACE($I665, ""\,"", ""."")), """")"),"")</f>
        <v/>
      </c>
      <c r="N665" s="47" t="str">
        <f>IF(Account!$F665&lt;&gt;"", DATEVALUE(MID($A665,4,3) &amp; LEFT($A665,3) &amp; RIGHT($A665,4)) + TIMEVALUE($B665), "")</f>
        <v/>
      </c>
      <c r="O665" s="48" t="str">
        <f>IF(Account!$F665&lt;&gt;"", DATEVALUE(MID($A665,4,3) &amp; LEFT($A665,3) &amp; RIGHT($A665,4)), "")</f>
        <v/>
      </c>
      <c r="P665" s="49" t="str">
        <f>IFERROR(VLOOKUP($Q665,Selection!$F:$G,2,false))</f>
        <v/>
      </c>
      <c r="Q665" s="50" t="str">
        <f>IF(AND($X665="change",$H665="EUR"),IF(AND($Z665="Crédit",$N665=$N666),$Q666,IF(AND($Z665="Débit",$N665=$N664),$Q664)),IF(OR(AND(OR($E665&lt;&gt;"",$L665=""),$M665&lt;&gt;0),$A665=""),IFERROR(VLOOKUP($E665,Selection!$E:$F,2,false)),IFERROR(VLOOKUP(SUBSTITUTE($I665,"-","",1),$K666:$Q1119,7,false),VLOOKUP($K665,$K666:$Q1119,7,false))))</f>
        <v/>
      </c>
      <c r="R665" s="49" t="str">
        <f t="shared" si="2"/>
        <v/>
      </c>
      <c r="S665" s="51" t="str">
        <f t="shared" si="3"/>
        <v/>
      </c>
      <c r="T665" s="52" t="str">
        <f t="shared" si="4"/>
        <v/>
      </c>
      <c r="U665" s="46" t="str">
        <f t="shared" si="5"/>
        <v/>
      </c>
      <c r="V665" s="53" t="str">
        <f>IFERROR(__xludf.DUMMYFUNCTION(" IF(Account!$F665&lt;&gt;"""", SPLIT(Account!$F665, "" ""), """")"),"")</f>
        <v/>
      </c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</row>
    <row r="666">
      <c r="A666" s="215"/>
      <c r="B666" s="215"/>
      <c r="C666" s="215"/>
      <c r="D666" s="215"/>
      <c r="E666" s="215"/>
      <c r="F666" s="373"/>
      <c r="G666" s="215"/>
      <c r="H666" s="215"/>
      <c r="I666" s="215"/>
      <c r="J666" s="215"/>
      <c r="K666" s="215"/>
      <c r="L666" s="45" t="str">
        <f t="shared" si="1"/>
        <v/>
      </c>
      <c r="M666" s="46" t="str">
        <f>IFERROR(__xludf.DUMMYFUNCTION("IF(Account!$F666&lt;&gt;"""", VALUE(REGEXREPLACE($I666, ""\,"", ""."")), """")"),"")</f>
        <v/>
      </c>
      <c r="N666" s="47" t="str">
        <f>IF(Account!$F666&lt;&gt;"", DATEVALUE(MID($A666,4,3) &amp; LEFT($A666,3) &amp; RIGHT($A666,4)) + TIMEVALUE($B666), "")</f>
        <v/>
      </c>
      <c r="O666" s="48" t="str">
        <f>IF(Account!$F666&lt;&gt;"", DATEVALUE(MID($A666,4,3) &amp; LEFT($A666,3) &amp; RIGHT($A666,4)), "")</f>
        <v/>
      </c>
      <c r="P666" s="49" t="str">
        <f>IFERROR(VLOOKUP($Q666,Selection!$F:$G,2,false))</f>
        <v/>
      </c>
      <c r="Q666" s="50" t="str">
        <f>IF(AND($X666="change",$H666="EUR"),IF(AND($Z666="Crédit",$N666=$N667),$Q667,IF(AND($Z666="Débit",$N666=$N665),$Q665)),IF(OR(AND(OR($E666&lt;&gt;"",$L666=""),$M666&lt;&gt;0),$A666=""),IFERROR(VLOOKUP($E666,Selection!$E:$F,2,false)),IFERROR(VLOOKUP(SUBSTITUTE($I666,"-","",1),$K667:$Q1119,7,false),VLOOKUP($K666,$K667:$Q1119,7,false))))</f>
        <v/>
      </c>
      <c r="R666" s="49" t="str">
        <f t="shared" si="2"/>
        <v/>
      </c>
      <c r="S666" s="51" t="str">
        <f t="shared" si="3"/>
        <v/>
      </c>
      <c r="T666" s="52" t="str">
        <f t="shared" si="4"/>
        <v/>
      </c>
      <c r="U666" s="46" t="str">
        <f t="shared" si="5"/>
        <v/>
      </c>
      <c r="V666" s="53" t="str">
        <f>IFERROR(__xludf.DUMMYFUNCTION(" IF(Account!$F666&lt;&gt;"""", SPLIT(Account!$F666, "" ""), """")"),"")</f>
        <v/>
      </c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</row>
    <row r="667">
      <c r="A667" s="215"/>
      <c r="B667" s="215"/>
      <c r="C667" s="215"/>
      <c r="D667" s="215"/>
      <c r="E667" s="215"/>
      <c r="F667" s="373"/>
      <c r="G667" s="215"/>
      <c r="H667" s="215"/>
      <c r="I667" s="215"/>
      <c r="J667" s="215"/>
      <c r="K667" s="215"/>
      <c r="L667" s="45" t="str">
        <f t="shared" si="1"/>
        <v/>
      </c>
      <c r="M667" s="46" t="str">
        <f>IFERROR(__xludf.DUMMYFUNCTION("IF(Account!$F667&lt;&gt;"""", VALUE(REGEXREPLACE($I667, ""\,"", ""."")), """")"),"")</f>
        <v/>
      </c>
      <c r="N667" s="47" t="str">
        <f>IF(Account!$F667&lt;&gt;"", DATEVALUE(MID($A667,4,3) &amp; LEFT($A667,3) &amp; RIGHT($A667,4)) + TIMEVALUE($B667), "")</f>
        <v/>
      </c>
      <c r="O667" s="48" t="str">
        <f>IF(Account!$F667&lt;&gt;"", DATEVALUE(MID($A667,4,3) &amp; LEFT($A667,3) &amp; RIGHT($A667,4)), "")</f>
        <v/>
      </c>
      <c r="P667" s="49" t="str">
        <f>IFERROR(VLOOKUP($Q667,Selection!$F:$G,2,false))</f>
        <v/>
      </c>
      <c r="Q667" s="50" t="str">
        <f>IF(AND($X667="change",$H667="EUR"),IF(AND($Z667="Crédit",$N667=$N668),$Q668,IF(AND($Z667="Débit",$N667=$N666),$Q666)),IF(OR(AND(OR($E667&lt;&gt;"",$L667=""),$M667&lt;&gt;0),$A667=""),IFERROR(VLOOKUP($E667,Selection!$E:$F,2,false)),IFERROR(VLOOKUP(SUBSTITUTE($I667,"-","",1),$K668:$Q1119,7,false),VLOOKUP($K667,$K668:$Q1119,7,false))))</f>
        <v/>
      </c>
      <c r="R667" s="49" t="str">
        <f t="shared" si="2"/>
        <v/>
      </c>
      <c r="S667" s="51" t="str">
        <f t="shared" si="3"/>
        <v/>
      </c>
      <c r="T667" s="52" t="str">
        <f t="shared" si="4"/>
        <v/>
      </c>
      <c r="U667" s="46" t="str">
        <f t="shared" si="5"/>
        <v/>
      </c>
      <c r="V667" s="53" t="str">
        <f>IFERROR(__xludf.DUMMYFUNCTION(" IF(Account!$F667&lt;&gt;"""", SPLIT(Account!$F667, "" ""), """")"),"")</f>
        <v/>
      </c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</row>
    <row r="668">
      <c r="A668" s="215"/>
      <c r="B668" s="215"/>
      <c r="C668" s="215"/>
      <c r="D668" s="215"/>
      <c r="E668" s="215"/>
      <c r="F668" s="373"/>
      <c r="G668" s="215"/>
      <c r="H668" s="215"/>
      <c r="I668" s="215"/>
      <c r="J668" s="215"/>
      <c r="K668" s="215"/>
      <c r="L668" s="45" t="str">
        <f t="shared" si="1"/>
        <v/>
      </c>
      <c r="M668" s="46" t="str">
        <f>IFERROR(__xludf.DUMMYFUNCTION("IF(Account!$F668&lt;&gt;"""", VALUE(REGEXREPLACE($I668, ""\,"", ""."")), """")"),"")</f>
        <v/>
      </c>
      <c r="N668" s="47" t="str">
        <f>IF(Account!$F668&lt;&gt;"", DATEVALUE(MID($A668,4,3) &amp; LEFT($A668,3) &amp; RIGHT($A668,4)) + TIMEVALUE($B668), "")</f>
        <v/>
      </c>
      <c r="O668" s="48" t="str">
        <f>IF(Account!$F668&lt;&gt;"", DATEVALUE(MID($A668,4,3) &amp; LEFT($A668,3) &amp; RIGHT($A668,4)), "")</f>
        <v/>
      </c>
      <c r="P668" s="49" t="str">
        <f>IFERROR(VLOOKUP($Q668,Selection!$F:$G,2,false))</f>
        <v/>
      </c>
      <c r="Q668" s="50" t="str">
        <f>IF(AND($X668="change",$H668="EUR"),IF(AND($Z668="Crédit",$N668=$N669),$Q669,IF(AND($Z668="Débit",$N668=$N667),$Q667)),IF(OR(AND(OR($E668&lt;&gt;"",$L668=""),$M668&lt;&gt;0),$A668=""),IFERROR(VLOOKUP($E668,Selection!$E:$F,2,false)),IFERROR(VLOOKUP(SUBSTITUTE($I668,"-","",1),$K669:$Q1119,7,false),VLOOKUP($K668,$K669:$Q1119,7,false))))</f>
        <v/>
      </c>
      <c r="R668" s="49" t="str">
        <f t="shared" si="2"/>
        <v/>
      </c>
      <c r="S668" s="51" t="str">
        <f t="shared" si="3"/>
        <v/>
      </c>
      <c r="T668" s="52" t="str">
        <f t="shared" si="4"/>
        <v/>
      </c>
      <c r="U668" s="46" t="str">
        <f t="shared" si="5"/>
        <v/>
      </c>
      <c r="V668" s="53" t="str">
        <f>IFERROR(__xludf.DUMMYFUNCTION(" IF(Account!$F668&lt;&gt;"""", SPLIT(Account!$F668, "" ""), """")"),"")</f>
        <v/>
      </c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</row>
    <row r="669">
      <c r="A669" s="215"/>
      <c r="B669" s="215"/>
      <c r="C669" s="215"/>
      <c r="D669" s="215"/>
      <c r="E669" s="215"/>
      <c r="F669" s="373"/>
      <c r="G669" s="215"/>
      <c r="H669" s="215"/>
      <c r="I669" s="215"/>
      <c r="J669" s="215"/>
      <c r="K669" s="215"/>
      <c r="L669" s="45" t="str">
        <f t="shared" si="1"/>
        <v/>
      </c>
      <c r="M669" s="46" t="str">
        <f>IFERROR(__xludf.DUMMYFUNCTION("IF(Account!$F669&lt;&gt;"""", VALUE(REGEXREPLACE($I669, ""\,"", ""."")), """")"),"")</f>
        <v/>
      </c>
      <c r="N669" s="47" t="str">
        <f>IF(Account!$F669&lt;&gt;"", DATEVALUE(MID($A669,4,3) &amp; LEFT($A669,3) &amp; RIGHT($A669,4)) + TIMEVALUE($B669), "")</f>
        <v/>
      </c>
      <c r="O669" s="48" t="str">
        <f>IF(Account!$F669&lt;&gt;"", DATEVALUE(MID($A669,4,3) &amp; LEFT($A669,3) &amp; RIGHT($A669,4)), "")</f>
        <v/>
      </c>
      <c r="P669" s="49" t="str">
        <f>IFERROR(VLOOKUP($Q669,Selection!$F:$G,2,false))</f>
        <v/>
      </c>
      <c r="Q669" s="50" t="str">
        <f>IF(AND($X669="change",$H669="EUR"),IF(AND($Z669="Crédit",$N669=$N670),$Q670,IF(AND($Z669="Débit",$N669=$N668),$Q668)),IF(OR(AND(OR($E669&lt;&gt;"",$L669=""),$M669&lt;&gt;0),$A669=""),IFERROR(VLOOKUP($E669,Selection!$E:$F,2,false)),IFERROR(VLOOKUP(SUBSTITUTE($I669,"-","",1),$K670:$Q1119,7,false),VLOOKUP($K669,$K670:$Q1119,7,false))))</f>
        <v/>
      </c>
      <c r="R669" s="49" t="str">
        <f t="shared" si="2"/>
        <v/>
      </c>
      <c r="S669" s="51" t="str">
        <f t="shared" si="3"/>
        <v/>
      </c>
      <c r="T669" s="52" t="str">
        <f t="shared" si="4"/>
        <v/>
      </c>
      <c r="U669" s="46" t="str">
        <f t="shared" si="5"/>
        <v/>
      </c>
      <c r="V669" s="53" t="str">
        <f>IFERROR(__xludf.DUMMYFUNCTION(" IF(Account!$F669&lt;&gt;"""", SPLIT(Account!$F669, "" ""), """")"),"")</f>
        <v/>
      </c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</row>
    <row r="670">
      <c r="A670" s="215"/>
      <c r="B670" s="215"/>
      <c r="C670" s="215"/>
      <c r="D670" s="215"/>
      <c r="E670" s="215"/>
      <c r="F670" s="373"/>
      <c r="G670" s="215"/>
      <c r="H670" s="215"/>
      <c r="I670" s="215"/>
      <c r="J670" s="215"/>
      <c r="K670" s="215"/>
      <c r="L670" s="45" t="str">
        <f t="shared" si="1"/>
        <v/>
      </c>
      <c r="M670" s="46" t="str">
        <f>IFERROR(__xludf.DUMMYFUNCTION("IF(Account!$F670&lt;&gt;"""", VALUE(REGEXREPLACE($I670, ""\,"", ""."")), """")"),"")</f>
        <v/>
      </c>
      <c r="N670" s="47" t="str">
        <f>IF(Account!$F670&lt;&gt;"", DATEVALUE(MID($A670,4,3) &amp; LEFT($A670,3) &amp; RIGHT($A670,4)) + TIMEVALUE($B670), "")</f>
        <v/>
      </c>
      <c r="O670" s="48" t="str">
        <f>IF(Account!$F670&lt;&gt;"", DATEVALUE(MID($A670,4,3) &amp; LEFT($A670,3) &amp; RIGHT($A670,4)), "")</f>
        <v/>
      </c>
      <c r="P670" s="49" t="str">
        <f>IFERROR(VLOOKUP($Q670,Selection!$F:$G,2,false))</f>
        <v/>
      </c>
      <c r="Q670" s="50" t="str">
        <f>IF(AND($X670="change",$H670="EUR"),IF(AND($Z670="Crédit",$N670=$N671),$Q671,IF(AND($Z670="Débit",$N670=$N669),$Q669)),IF(OR(AND(OR($E670&lt;&gt;"",$L670=""),$M670&lt;&gt;0),$A670=""),IFERROR(VLOOKUP($E670,Selection!$E:$F,2,false)),IFERROR(VLOOKUP(SUBSTITUTE($I670,"-","",1),$K671:$Q1119,7,false),VLOOKUP($K670,$K671:$Q1119,7,false))))</f>
        <v/>
      </c>
      <c r="R670" s="49" t="str">
        <f t="shared" si="2"/>
        <v/>
      </c>
      <c r="S670" s="51" t="str">
        <f t="shared" si="3"/>
        <v/>
      </c>
      <c r="T670" s="52" t="str">
        <f t="shared" si="4"/>
        <v/>
      </c>
      <c r="U670" s="46" t="str">
        <f t="shared" si="5"/>
        <v/>
      </c>
      <c r="V670" s="53" t="str">
        <f>IFERROR(__xludf.DUMMYFUNCTION(" IF(Account!$F670&lt;&gt;"""", SPLIT(Account!$F670, "" ""), """")"),"")</f>
        <v/>
      </c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</row>
    <row r="671">
      <c r="A671" s="215"/>
      <c r="B671" s="215"/>
      <c r="C671" s="215"/>
      <c r="D671" s="215"/>
      <c r="E671" s="215"/>
      <c r="F671" s="373"/>
      <c r="G671" s="215"/>
      <c r="H671" s="215"/>
      <c r="I671" s="215"/>
      <c r="J671" s="215"/>
      <c r="K671" s="215"/>
      <c r="L671" s="45" t="str">
        <f t="shared" si="1"/>
        <v/>
      </c>
      <c r="M671" s="46" t="str">
        <f>IFERROR(__xludf.DUMMYFUNCTION("IF(Account!$F671&lt;&gt;"""", VALUE(REGEXREPLACE($I671, ""\,"", ""."")), """")"),"")</f>
        <v/>
      </c>
      <c r="N671" s="47" t="str">
        <f>IF(Account!$F671&lt;&gt;"", DATEVALUE(MID($A671,4,3) &amp; LEFT($A671,3) &amp; RIGHT($A671,4)) + TIMEVALUE($B671), "")</f>
        <v/>
      </c>
      <c r="O671" s="48" t="str">
        <f>IF(Account!$F671&lt;&gt;"", DATEVALUE(MID($A671,4,3) &amp; LEFT($A671,3) &amp; RIGHT($A671,4)), "")</f>
        <v/>
      </c>
      <c r="P671" s="49" t="str">
        <f>IFERROR(VLOOKUP($Q671,Selection!$F:$G,2,false))</f>
        <v/>
      </c>
      <c r="Q671" s="50" t="str">
        <f>IF(AND($X671="change",$H671="EUR"),IF(AND($Z671="Crédit",$N671=$N672),$Q672,IF(AND($Z671="Débit",$N671=$N670),$Q670)),IF(OR(AND(OR($E671&lt;&gt;"",$L671=""),$M671&lt;&gt;0),$A671=""),IFERROR(VLOOKUP($E671,Selection!$E:$F,2,false)),IFERROR(VLOOKUP(SUBSTITUTE($I671,"-","",1),$K672:$Q1119,7,false),VLOOKUP($K671,$K672:$Q1119,7,false))))</f>
        <v/>
      </c>
      <c r="R671" s="49" t="str">
        <f t="shared" si="2"/>
        <v/>
      </c>
      <c r="S671" s="51" t="str">
        <f t="shared" si="3"/>
        <v/>
      </c>
      <c r="T671" s="52" t="str">
        <f t="shared" si="4"/>
        <v/>
      </c>
      <c r="U671" s="46" t="str">
        <f t="shared" si="5"/>
        <v/>
      </c>
      <c r="V671" s="53" t="str">
        <f>IFERROR(__xludf.DUMMYFUNCTION(" IF(Account!$F671&lt;&gt;"""", SPLIT(Account!$F671, "" ""), """")"),"")</f>
        <v/>
      </c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</row>
    <row r="672">
      <c r="A672" s="215"/>
      <c r="B672" s="215"/>
      <c r="C672" s="215"/>
      <c r="D672" s="215"/>
      <c r="E672" s="215"/>
      <c r="F672" s="373"/>
      <c r="G672" s="215"/>
      <c r="H672" s="215"/>
      <c r="I672" s="215"/>
      <c r="J672" s="215"/>
      <c r="K672" s="215"/>
      <c r="L672" s="45" t="str">
        <f t="shared" si="1"/>
        <v/>
      </c>
      <c r="M672" s="46" t="str">
        <f>IFERROR(__xludf.DUMMYFUNCTION("IF(Account!$F672&lt;&gt;"""", VALUE(REGEXREPLACE($I672, ""\,"", ""."")), """")"),"")</f>
        <v/>
      </c>
      <c r="N672" s="47" t="str">
        <f>IF(Account!$F672&lt;&gt;"", DATEVALUE(MID($A672,4,3) &amp; LEFT($A672,3) &amp; RIGHT($A672,4)) + TIMEVALUE($B672), "")</f>
        <v/>
      </c>
      <c r="O672" s="48" t="str">
        <f>IF(Account!$F672&lt;&gt;"", DATEVALUE(MID($A672,4,3) &amp; LEFT($A672,3) &amp; RIGHT($A672,4)), "")</f>
        <v/>
      </c>
      <c r="P672" s="49" t="str">
        <f>IFERROR(VLOOKUP($Q672,Selection!$F:$G,2,false))</f>
        <v/>
      </c>
      <c r="Q672" s="50" t="str">
        <f>IF(AND($X672="change",$H672="EUR"),IF(AND($Z672="Crédit",$N672=$N673),$Q673,IF(AND($Z672="Débit",$N672=$N671),$Q671)),IF(OR(AND(OR($E672&lt;&gt;"",$L672=""),$M672&lt;&gt;0),$A672=""),IFERROR(VLOOKUP($E672,Selection!$E:$F,2,false)),IFERROR(VLOOKUP(SUBSTITUTE($I672,"-","",1),$K673:$Q1119,7,false),VLOOKUP($K672,$K673:$Q1119,7,false))))</f>
        <v/>
      </c>
      <c r="R672" s="49" t="str">
        <f t="shared" si="2"/>
        <v/>
      </c>
      <c r="S672" s="51" t="str">
        <f t="shared" si="3"/>
        <v/>
      </c>
      <c r="T672" s="52" t="str">
        <f t="shared" si="4"/>
        <v/>
      </c>
      <c r="U672" s="46" t="str">
        <f t="shared" si="5"/>
        <v/>
      </c>
      <c r="V672" s="53" t="str">
        <f>IFERROR(__xludf.DUMMYFUNCTION(" IF(Account!$F672&lt;&gt;"""", SPLIT(Account!$F672, "" ""), """")"),"")</f>
        <v/>
      </c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</row>
    <row r="673">
      <c r="A673" s="215"/>
      <c r="B673" s="215"/>
      <c r="C673" s="215"/>
      <c r="D673" s="215"/>
      <c r="E673" s="215"/>
      <c r="F673" s="373"/>
      <c r="G673" s="215"/>
      <c r="H673" s="215"/>
      <c r="I673" s="215"/>
      <c r="J673" s="215"/>
      <c r="K673" s="215"/>
      <c r="L673" s="45" t="str">
        <f t="shared" si="1"/>
        <v/>
      </c>
      <c r="M673" s="46" t="str">
        <f>IFERROR(__xludf.DUMMYFUNCTION("IF(Account!$F673&lt;&gt;"""", VALUE(REGEXREPLACE($I673, ""\,"", ""."")), """")"),"")</f>
        <v/>
      </c>
      <c r="N673" s="47" t="str">
        <f>IF(Account!$F673&lt;&gt;"", DATEVALUE(MID($A673,4,3) &amp; LEFT($A673,3) &amp; RIGHT($A673,4)) + TIMEVALUE($B673), "")</f>
        <v/>
      </c>
      <c r="O673" s="48" t="str">
        <f>IF(Account!$F673&lt;&gt;"", DATEVALUE(MID($A673,4,3) &amp; LEFT($A673,3) &amp; RIGHT($A673,4)), "")</f>
        <v/>
      </c>
      <c r="P673" s="49" t="str">
        <f>IFERROR(VLOOKUP($Q673,Selection!$F:$G,2,false))</f>
        <v/>
      </c>
      <c r="Q673" s="50" t="str">
        <f>IF(AND($X673="change",$H673="EUR"),IF(AND($Z673="Crédit",$N673=$N674),$Q674,IF(AND($Z673="Débit",$N673=$N672),$Q672)),IF(OR(AND(OR($E673&lt;&gt;"",$L673=""),$M673&lt;&gt;0),$A673=""),IFERROR(VLOOKUP($E673,Selection!$E:$F,2,false)),IFERROR(VLOOKUP(SUBSTITUTE($I673,"-","",1),$K674:$Q1119,7,false),VLOOKUP($K673,$K674:$Q1119,7,false))))</f>
        <v/>
      </c>
      <c r="R673" s="49" t="str">
        <f t="shared" si="2"/>
        <v/>
      </c>
      <c r="S673" s="51" t="str">
        <f t="shared" si="3"/>
        <v/>
      </c>
      <c r="T673" s="52" t="str">
        <f t="shared" si="4"/>
        <v/>
      </c>
      <c r="U673" s="46" t="str">
        <f t="shared" si="5"/>
        <v/>
      </c>
      <c r="V673" s="53" t="str">
        <f>IFERROR(__xludf.DUMMYFUNCTION(" IF(Account!$F673&lt;&gt;"""", SPLIT(Account!$F673, "" ""), """")"),"")</f>
        <v/>
      </c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</row>
    <row r="674">
      <c r="A674" s="215"/>
      <c r="B674" s="215"/>
      <c r="C674" s="215"/>
      <c r="D674" s="215"/>
      <c r="E674" s="215"/>
      <c r="F674" s="373"/>
      <c r="G674" s="215"/>
      <c r="H674" s="215"/>
      <c r="I674" s="215"/>
      <c r="J674" s="215"/>
      <c r="K674" s="215"/>
      <c r="L674" s="45" t="str">
        <f t="shared" si="1"/>
        <v/>
      </c>
      <c r="M674" s="46" t="str">
        <f>IFERROR(__xludf.DUMMYFUNCTION("IF(Account!$F674&lt;&gt;"""", VALUE(REGEXREPLACE($I674, ""\,"", ""."")), """")"),"")</f>
        <v/>
      </c>
      <c r="N674" s="47" t="str">
        <f>IF(Account!$F674&lt;&gt;"", DATEVALUE(MID($A674,4,3) &amp; LEFT($A674,3) &amp; RIGHT($A674,4)) + TIMEVALUE($B674), "")</f>
        <v/>
      </c>
      <c r="O674" s="48" t="str">
        <f>IF(Account!$F674&lt;&gt;"", DATEVALUE(MID($A674,4,3) &amp; LEFT($A674,3) &amp; RIGHT($A674,4)), "")</f>
        <v/>
      </c>
      <c r="P674" s="49" t="str">
        <f>IFERROR(VLOOKUP($Q674,Selection!$F:$G,2,false))</f>
        <v/>
      </c>
      <c r="Q674" s="50" t="str">
        <f>IF(AND($X674="change",$H674="EUR"),IF(AND($Z674="Crédit",$N674=$N675),$Q675,IF(AND($Z674="Débit",$N674=$N673),$Q673)),IF(OR(AND(OR($E674&lt;&gt;"",$L674=""),$M674&lt;&gt;0),$A674=""),IFERROR(VLOOKUP($E674,Selection!$E:$F,2,false)),IFERROR(VLOOKUP(SUBSTITUTE($I674,"-","",1),$K675:$Q1119,7,false),VLOOKUP($K674,$K675:$Q1119,7,false))))</f>
        <v/>
      </c>
      <c r="R674" s="49" t="str">
        <f t="shared" si="2"/>
        <v/>
      </c>
      <c r="S674" s="51" t="str">
        <f t="shared" si="3"/>
        <v/>
      </c>
      <c r="T674" s="52" t="str">
        <f t="shared" si="4"/>
        <v/>
      </c>
      <c r="U674" s="46" t="str">
        <f t="shared" si="5"/>
        <v/>
      </c>
      <c r="V674" s="53" t="str">
        <f>IFERROR(__xludf.DUMMYFUNCTION(" IF(Account!$F674&lt;&gt;"""", SPLIT(Account!$F674, "" ""), """")"),"")</f>
        <v/>
      </c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</row>
    <row r="675">
      <c r="A675" s="215"/>
      <c r="B675" s="215"/>
      <c r="C675" s="215"/>
      <c r="D675" s="215"/>
      <c r="E675" s="215"/>
      <c r="F675" s="373"/>
      <c r="G675" s="215"/>
      <c r="H675" s="215"/>
      <c r="I675" s="215"/>
      <c r="J675" s="215"/>
      <c r="K675" s="215"/>
      <c r="L675" s="45" t="str">
        <f t="shared" si="1"/>
        <v/>
      </c>
      <c r="M675" s="46" t="str">
        <f>IFERROR(__xludf.DUMMYFUNCTION("IF(Account!$F675&lt;&gt;"""", VALUE(REGEXREPLACE($I675, ""\,"", ""."")), """")"),"")</f>
        <v/>
      </c>
      <c r="N675" s="47" t="str">
        <f>IF(Account!$F675&lt;&gt;"", DATEVALUE(MID($A675,4,3) &amp; LEFT($A675,3) &amp; RIGHT($A675,4)) + TIMEVALUE($B675), "")</f>
        <v/>
      </c>
      <c r="O675" s="48" t="str">
        <f>IF(Account!$F675&lt;&gt;"", DATEVALUE(MID($A675,4,3) &amp; LEFT($A675,3) &amp; RIGHT($A675,4)), "")</f>
        <v/>
      </c>
      <c r="P675" s="49" t="str">
        <f>IFERROR(VLOOKUP($Q675,Selection!$F:$G,2,false))</f>
        <v/>
      </c>
      <c r="Q675" s="50" t="str">
        <f>IF(AND($X675="change",$H675="EUR"),IF(AND($Z675="Crédit",$N675=$N676),$Q676,IF(AND($Z675="Débit",$N675=$N674),$Q674)),IF(OR(AND(OR($E675&lt;&gt;"",$L675=""),$M675&lt;&gt;0),$A675=""),IFERROR(VLOOKUP($E675,Selection!$E:$F,2,false)),IFERROR(VLOOKUP(SUBSTITUTE($I675,"-","",1),$K676:$Q1119,7,false),VLOOKUP($K675,$K676:$Q1119,7,false))))</f>
        <v/>
      </c>
      <c r="R675" s="49" t="str">
        <f t="shared" si="2"/>
        <v/>
      </c>
      <c r="S675" s="51" t="str">
        <f t="shared" si="3"/>
        <v/>
      </c>
      <c r="T675" s="52" t="str">
        <f t="shared" si="4"/>
        <v/>
      </c>
      <c r="U675" s="46" t="str">
        <f t="shared" si="5"/>
        <v/>
      </c>
      <c r="V675" s="53" t="str">
        <f>IFERROR(__xludf.DUMMYFUNCTION(" IF(Account!$F675&lt;&gt;"""", SPLIT(Account!$F675, "" ""), """")"),"")</f>
        <v/>
      </c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</row>
    <row r="676">
      <c r="A676" s="215"/>
      <c r="B676" s="215"/>
      <c r="C676" s="215"/>
      <c r="D676" s="215"/>
      <c r="E676" s="215"/>
      <c r="F676" s="373"/>
      <c r="G676" s="215"/>
      <c r="H676" s="215"/>
      <c r="I676" s="215"/>
      <c r="J676" s="215"/>
      <c r="K676" s="215"/>
      <c r="L676" s="45" t="str">
        <f t="shared" si="1"/>
        <v/>
      </c>
      <c r="M676" s="46" t="str">
        <f>IFERROR(__xludf.DUMMYFUNCTION("IF(Account!$F676&lt;&gt;"""", VALUE(REGEXREPLACE($I676, ""\,"", ""."")), """")"),"")</f>
        <v/>
      </c>
      <c r="N676" s="47" t="str">
        <f>IF(Account!$F676&lt;&gt;"", DATEVALUE(MID($A676,4,3) &amp; LEFT($A676,3) &amp; RIGHT($A676,4)) + TIMEVALUE($B676), "")</f>
        <v/>
      </c>
      <c r="O676" s="48" t="str">
        <f>IF(Account!$F676&lt;&gt;"", DATEVALUE(MID($A676,4,3) &amp; LEFT($A676,3) &amp; RIGHT($A676,4)), "")</f>
        <v/>
      </c>
      <c r="P676" s="49" t="str">
        <f>IFERROR(VLOOKUP($Q676,Selection!$F:$G,2,false))</f>
        <v/>
      </c>
      <c r="Q676" s="50" t="str">
        <f>IF(AND($X676="change",$H676="EUR"),IF(AND($Z676="Crédit",$N676=$N677),$Q677,IF(AND($Z676="Débit",$N676=$N675),$Q675)),IF(OR(AND(OR($E676&lt;&gt;"",$L676=""),$M676&lt;&gt;0),$A676=""),IFERROR(VLOOKUP($E676,Selection!$E:$F,2,false)),IFERROR(VLOOKUP(SUBSTITUTE($I676,"-","",1),$K677:$Q1119,7,false),VLOOKUP($K676,$K677:$Q1119,7,false))))</f>
        <v/>
      </c>
      <c r="R676" s="49" t="str">
        <f t="shared" si="2"/>
        <v/>
      </c>
      <c r="S676" s="51" t="str">
        <f t="shared" si="3"/>
        <v/>
      </c>
      <c r="T676" s="52" t="str">
        <f t="shared" si="4"/>
        <v/>
      </c>
      <c r="U676" s="46" t="str">
        <f t="shared" si="5"/>
        <v/>
      </c>
      <c r="V676" s="53" t="str">
        <f>IFERROR(__xludf.DUMMYFUNCTION(" IF(Account!$F676&lt;&gt;"""", SPLIT(Account!$F676, "" ""), """")"),"")</f>
        <v/>
      </c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</row>
    <row r="677">
      <c r="A677" s="215"/>
      <c r="B677" s="215"/>
      <c r="C677" s="215"/>
      <c r="D677" s="215"/>
      <c r="E677" s="215"/>
      <c r="F677" s="373"/>
      <c r="G677" s="215"/>
      <c r="H677" s="215"/>
      <c r="I677" s="215"/>
      <c r="J677" s="215"/>
      <c r="K677" s="215"/>
      <c r="L677" s="45" t="str">
        <f t="shared" si="1"/>
        <v/>
      </c>
      <c r="M677" s="46" t="str">
        <f>IFERROR(__xludf.DUMMYFUNCTION("IF(Account!$F677&lt;&gt;"""", VALUE(REGEXREPLACE($I677, ""\,"", ""."")), """")"),"")</f>
        <v/>
      </c>
      <c r="N677" s="47" t="str">
        <f>IF(Account!$F677&lt;&gt;"", DATEVALUE(MID($A677,4,3) &amp; LEFT($A677,3) &amp; RIGHT($A677,4)) + TIMEVALUE($B677), "")</f>
        <v/>
      </c>
      <c r="O677" s="48" t="str">
        <f>IF(Account!$F677&lt;&gt;"", DATEVALUE(MID($A677,4,3) &amp; LEFT($A677,3) &amp; RIGHT($A677,4)), "")</f>
        <v/>
      </c>
      <c r="P677" s="49" t="str">
        <f>IFERROR(VLOOKUP($Q677,Selection!$F:$G,2,false))</f>
        <v/>
      </c>
      <c r="Q677" s="50" t="str">
        <f>IF(AND($X677="change",$H677="EUR"),IF(AND($Z677="Crédit",$N677=$N678),$Q678,IF(AND($Z677="Débit",$N677=$N676),$Q676)),IF(OR(AND(OR($E677&lt;&gt;"",$L677=""),$M677&lt;&gt;0),$A677=""),IFERROR(VLOOKUP($E677,Selection!$E:$F,2,false)),IFERROR(VLOOKUP(SUBSTITUTE($I677,"-","",1),$K678:$Q1119,7,false),VLOOKUP($K677,$K678:$Q1119,7,false))))</f>
        <v/>
      </c>
      <c r="R677" s="49" t="str">
        <f t="shared" si="2"/>
        <v/>
      </c>
      <c r="S677" s="51" t="str">
        <f t="shared" si="3"/>
        <v/>
      </c>
      <c r="T677" s="52" t="str">
        <f t="shared" si="4"/>
        <v/>
      </c>
      <c r="U677" s="46" t="str">
        <f t="shared" si="5"/>
        <v/>
      </c>
      <c r="V677" s="53" t="str">
        <f>IFERROR(__xludf.DUMMYFUNCTION(" IF(Account!$F677&lt;&gt;"""", SPLIT(Account!$F677, "" ""), """")"),"")</f>
        <v/>
      </c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</row>
    <row r="678">
      <c r="A678" s="215"/>
      <c r="B678" s="215"/>
      <c r="C678" s="215"/>
      <c r="D678" s="215"/>
      <c r="E678" s="215"/>
      <c r="F678" s="373"/>
      <c r="G678" s="215"/>
      <c r="H678" s="215"/>
      <c r="I678" s="215"/>
      <c r="J678" s="215"/>
      <c r="K678" s="215"/>
      <c r="L678" s="45" t="str">
        <f t="shared" si="1"/>
        <v/>
      </c>
      <c r="M678" s="46" t="str">
        <f>IFERROR(__xludf.DUMMYFUNCTION("IF(Account!$F678&lt;&gt;"""", VALUE(REGEXREPLACE($I678, ""\,"", ""."")), """")"),"")</f>
        <v/>
      </c>
      <c r="N678" s="47" t="str">
        <f>IF(Account!$F678&lt;&gt;"", DATEVALUE(MID($A678,4,3) &amp; LEFT($A678,3) &amp; RIGHT($A678,4)) + TIMEVALUE($B678), "")</f>
        <v/>
      </c>
      <c r="O678" s="48" t="str">
        <f>IF(Account!$F678&lt;&gt;"", DATEVALUE(MID($A678,4,3) &amp; LEFT($A678,3) &amp; RIGHT($A678,4)), "")</f>
        <v/>
      </c>
      <c r="P678" s="49" t="str">
        <f>IFERROR(VLOOKUP($Q678,Selection!$F:$G,2,false))</f>
        <v/>
      </c>
      <c r="Q678" s="50" t="str">
        <f>IF(AND($X678="change",$H678="EUR"),IF(AND($Z678="Crédit",$N678=$N679),$Q679,IF(AND($Z678="Débit",$N678=$N677),$Q677)),IF(OR(AND(OR($E678&lt;&gt;"",$L678=""),$M678&lt;&gt;0),$A678=""),IFERROR(VLOOKUP($E678,Selection!$E:$F,2,false)),IFERROR(VLOOKUP(SUBSTITUTE($I678,"-","",1),$K679:$Q1119,7,false),VLOOKUP($K678,$K679:$Q1119,7,false))))</f>
        <v/>
      </c>
      <c r="R678" s="49" t="str">
        <f t="shared" si="2"/>
        <v/>
      </c>
      <c r="S678" s="51" t="str">
        <f t="shared" si="3"/>
        <v/>
      </c>
      <c r="T678" s="52" t="str">
        <f t="shared" si="4"/>
        <v/>
      </c>
      <c r="U678" s="46" t="str">
        <f t="shared" si="5"/>
        <v/>
      </c>
      <c r="V678" s="53" t="str">
        <f>IFERROR(__xludf.DUMMYFUNCTION(" IF(Account!$F678&lt;&gt;"""", SPLIT(Account!$F678, "" ""), """")"),"")</f>
        <v/>
      </c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</row>
    <row r="679">
      <c r="A679" s="215"/>
      <c r="B679" s="215"/>
      <c r="C679" s="215"/>
      <c r="D679" s="215"/>
      <c r="E679" s="215"/>
      <c r="F679" s="373"/>
      <c r="G679" s="215"/>
      <c r="H679" s="215"/>
      <c r="I679" s="215"/>
      <c r="J679" s="215"/>
      <c r="K679" s="215"/>
      <c r="L679" s="45" t="str">
        <f t="shared" si="1"/>
        <v/>
      </c>
      <c r="M679" s="46" t="str">
        <f>IFERROR(__xludf.DUMMYFUNCTION("IF(Account!$F679&lt;&gt;"""", VALUE(REGEXREPLACE($I679, ""\,"", ""."")), """")"),"")</f>
        <v/>
      </c>
      <c r="N679" s="47" t="str">
        <f>IF(Account!$F679&lt;&gt;"", DATEVALUE(MID($A679,4,3) &amp; LEFT($A679,3) &amp; RIGHT($A679,4)) + TIMEVALUE($B679), "")</f>
        <v/>
      </c>
      <c r="O679" s="48" t="str">
        <f>IF(Account!$F679&lt;&gt;"", DATEVALUE(MID($A679,4,3) &amp; LEFT($A679,3) &amp; RIGHT($A679,4)), "")</f>
        <v/>
      </c>
      <c r="P679" s="49" t="str">
        <f>IFERROR(VLOOKUP($Q679,Selection!$F:$G,2,false))</f>
        <v/>
      </c>
      <c r="Q679" s="50" t="str">
        <f>IF(AND($X679="change",$H679="EUR"),IF(AND($Z679="Crédit",$N679=$N680),$Q680,IF(AND($Z679="Débit",$N679=$N678),$Q678)),IF(OR(AND(OR($E679&lt;&gt;"",$L679=""),$M679&lt;&gt;0),$A679=""),IFERROR(VLOOKUP($E679,Selection!$E:$F,2,false)),IFERROR(VLOOKUP(SUBSTITUTE($I679,"-","",1),$K680:$Q1119,7,false),VLOOKUP($K679,$K680:$Q1119,7,false))))</f>
        <v/>
      </c>
      <c r="R679" s="49" t="str">
        <f t="shared" si="2"/>
        <v/>
      </c>
      <c r="S679" s="51" t="str">
        <f t="shared" si="3"/>
        <v/>
      </c>
      <c r="T679" s="52" t="str">
        <f t="shared" si="4"/>
        <v/>
      </c>
      <c r="U679" s="46" t="str">
        <f t="shared" si="5"/>
        <v/>
      </c>
      <c r="V679" s="53" t="str">
        <f>IFERROR(__xludf.DUMMYFUNCTION(" IF(Account!$F679&lt;&gt;"""", SPLIT(Account!$F679, "" ""), """")"),"")</f>
        <v/>
      </c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</row>
    <row r="680">
      <c r="A680" s="215"/>
      <c r="B680" s="215"/>
      <c r="C680" s="215"/>
      <c r="D680" s="215"/>
      <c r="E680" s="215"/>
      <c r="F680" s="373"/>
      <c r="G680" s="215"/>
      <c r="H680" s="215"/>
      <c r="I680" s="215"/>
      <c r="J680" s="215"/>
      <c r="K680" s="215"/>
      <c r="L680" s="45" t="str">
        <f t="shared" si="1"/>
        <v/>
      </c>
      <c r="M680" s="46" t="str">
        <f>IFERROR(__xludf.DUMMYFUNCTION("IF(Account!$F680&lt;&gt;"""", VALUE(REGEXREPLACE($I680, ""\,"", ""."")), """")"),"")</f>
        <v/>
      </c>
      <c r="N680" s="47" t="str">
        <f>IF(Account!$F680&lt;&gt;"", DATEVALUE(MID($A680,4,3) &amp; LEFT($A680,3) &amp; RIGHT($A680,4)) + TIMEVALUE($B680), "")</f>
        <v/>
      </c>
      <c r="O680" s="48" t="str">
        <f>IF(Account!$F680&lt;&gt;"", DATEVALUE(MID($A680,4,3) &amp; LEFT($A680,3) &amp; RIGHT($A680,4)), "")</f>
        <v/>
      </c>
      <c r="P680" s="49" t="str">
        <f>IFERROR(VLOOKUP($Q680,Selection!$F:$G,2,false))</f>
        <v/>
      </c>
      <c r="Q680" s="50" t="str">
        <f>IF(AND($X680="change",$H680="EUR"),IF(AND($Z680="Crédit",$N680=$N681),$Q681,IF(AND($Z680="Débit",$N680=$N679),$Q679)),IF(OR(AND(OR($E680&lt;&gt;"",$L680=""),$M680&lt;&gt;0),$A680=""),IFERROR(VLOOKUP($E680,Selection!$E:$F,2,false)),IFERROR(VLOOKUP(SUBSTITUTE($I680,"-","",1),$K681:$Q1119,7,false),VLOOKUP($K680,$K681:$Q1119,7,false))))</f>
        <v/>
      </c>
      <c r="R680" s="49" t="str">
        <f t="shared" si="2"/>
        <v/>
      </c>
      <c r="S680" s="51" t="str">
        <f t="shared" si="3"/>
        <v/>
      </c>
      <c r="T680" s="52" t="str">
        <f t="shared" si="4"/>
        <v/>
      </c>
      <c r="U680" s="46" t="str">
        <f t="shared" si="5"/>
        <v/>
      </c>
      <c r="V680" s="53" t="str">
        <f>IFERROR(__xludf.DUMMYFUNCTION(" IF(Account!$F680&lt;&gt;"""", SPLIT(Account!$F680, "" ""), """")"),"")</f>
        <v/>
      </c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</row>
    <row r="681">
      <c r="A681" s="215"/>
      <c r="B681" s="215"/>
      <c r="C681" s="215"/>
      <c r="D681" s="215"/>
      <c r="E681" s="215"/>
      <c r="F681" s="373"/>
      <c r="G681" s="215"/>
      <c r="H681" s="215"/>
      <c r="I681" s="215"/>
      <c r="J681" s="215"/>
      <c r="K681" s="215"/>
      <c r="L681" s="45" t="str">
        <f t="shared" si="1"/>
        <v/>
      </c>
      <c r="M681" s="46" t="str">
        <f>IFERROR(__xludf.DUMMYFUNCTION("IF(Account!$F681&lt;&gt;"""", VALUE(REGEXREPLACE($I681, ""\,"", ""."")), """")"),"")</f>
        <v/>
      </c>
      <c r="N681" s="47" t="str">
        <f>IF(Account!$F681&lt;&gt;"", DATEVALUE(MID($A681,4,3) &amp; LEFT($A681,3) &amp; RIGHT($A681,4)) + TIMEVALUE($B681), "")</f>
        <v/>
      </c>
      <c r="O681" s="48" t="str">
        <f>IF(Account!$F681&lt;&gt;"", DATEVALUE(MID($A681,4,3) &amp; LEFT($A681,3) &amp; RIGHT($A681,4)), "")</f>
        <v/>
      </c>
      <c r="P681" s="49" t="str">
        <f>IFERROR(VLOOKUP($Q681,Selection!$F:$G,2,false))</f>
        <v/>
      </c>
      <c r="Q681" s="50" t="str">
        <f>IF(AND($X681="change",$H681="EUR"),IF(AND($Z681="Crédit",$N681=$N682),$Q682,IF(AND($Z681="Débit",$N681=$N680),$Q680)),IF(OR(AND(OR($E681&lt;&gt;"",$L681=""),$M681&lt;&gt;0),$A681=""),IFERROR(VLOOKUP($E681,Selection!$E:$F,2,false)),IFERROR(VLOOKUP(SUBSTITUTE($I681,"-","",1),$K682:$Q1119,7,false),VLOOKUP($K681,$K682:$Q1119,7,false))))</f>
        <v/>
      </c>
      <c r="R681" s="49" t="str">
        <f t="shared" si="2"/>
        <v/>
      </c>
      <c r="S681" s="51" t="str">
        <f t="shared" si="3"/>
        <v/>
      </c>
      <c r="T681" s="52" t="str">
        <f t="shared" si="4"/>
        <v/>
      </c>
      <c r="U681" s="46" t="str">
        <f t="shared" si="5"/>
        <v/>
      </c>
      <c r="V681" s="53" t="str">
        <f>IFERROR(__xludf.DUMMYFUNCTION(" IF(Account!$F681&lt;&gt;"""", SPLIT(Account!$F681, "" ""), """")"),"")</f>
        <v/>
      </c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</row>
    <row r="682">
      <c r="A682" s="215"/>
      <c r="B682" s="215"/>
      <c r="C682" s="215"/>
      <c r="D682" s="215"/>
      <c r="E682" s="215"/>
      <c r="F682" s="373"/>
      <c r="G682" s="215"/>
      <c r="H682" s="215"/>
      <c r="I682" s="215"/>
      <c r="J682" s="215"/>
      <c r="K682" s="215"/>
      <c r="L682" s="45" t="str">
        <f t="shared" si="1"/>
        <v/>
      </c>
      <c r="M682" s="46" t="str">
        <f>IFERROR(__xludf.DUMMYFUNCTION("IF(Account!$F682&lt;&gt;"""", VALUE(REGEXREPLACE($I682, ""\,"", ""."")), """")"),"")</f>
        <v/>
      </c>
      <c r="N682" s="47" t="str">
        <f>IF(Account!$F682&lt;&gt;"", DATEVALUE(MID($A682,4,3) &amp; LEFT($A682,3) &amp; RIGHT($A682,4)) + TIMEVALUE($B682), "")</f>
        <v/>
      </c>
      <c r="O682" s="48" t="str">
        <f>IF(Account!$F682&lt;&gt;"", DATEVALUE(MID($A682,4,3) &amp; LEFT($A682,3) &amp; RIGHT($A682,4)), "")</f>
        <v/>
      </c>
      <c r="P682" s="49" t="str">
        <f>IFERROR(VLOOKUP($Q682,Selection!$F:$G,2,false))</f>
        <v/>
      </c>
      <c r="Q682" s="50" t="str">
        <f>IF(AND($X682="change",$H682="EUR"),IF(AND($Z682="Crédit",$N682=$N683),$Q683,IF(AND($Z682="Débit",$N682=$N681),$Q681)),IF(OR(AND(OR($E682&lt;&gt;"",$L682=""),$M682&lt;&gt;0),$A682=""),IFERROR(VLOOKUP($E682,Selection!$E:$F,2,false)),IFERROR(VLOOKUP(SUBSTITUTE($I682,"-","",1),$K683:$Q1119,7,false),VLOOKUP($K682,$K683:$Q1119,7,false))))</f>
        <v/>
      </c>
      <c r="R682" s="49" t="str">
        <f t="shared" si="2"/>
        <v/>
      </c>
      <c r="S682" s="51" t="str">
        <f t="shared" si="3"/>
        <v/>
      </c>
      <c r="T682" s="52" t="str">
        <f t="shared" si="4"/>
        <v/>
      </c>
      <c r="U682" s="46" t="str">
        <f t="shared" si="5"/>
        <v/>
      </c>
      <c r="V682" s="53" t="str">
        <f>IFERROR(__xludf.DUMMYFUNCTION(" IF(Account!$F682&lt;&gt;"""", SPLIT(Account!$F682, "" ""), """")"),"")</f>
        <v/>
      </c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</row>
    <row r="683">
      <c r="A683" s="215"/>
      <c r="B683" s="215"/>
      <c r="C683" s="215"/>
      <c r="D683" s="215"/>
      <c r="E683" s="215"/>
      <c r="F683" s="373"/>
      <c r="G683" s="215"/>
      <c r="H683" s="215"/>
      <c r="I683" s="215"/>
      <c r="J683" s="215"/>
      <c r="K683" s="215"/>
      <c r="L683" s="45" t="str">
        <f t="shared" si="1"/>
        <v/>
      </c>
      <c r="M683" s="46" t="str">
        <f>IFERROR(__xludf.DUMMYFUNCTION("IF(Account!$F683&lt;&gt;"""", VALUE(REGEXREPLACE($I683, ""\,"", ""."")), """")"),"")</f>
        <v/>
      </c>
      <c r="N683" s="47" t="str">
        <f>IF(Account!$F683&lt;&gt;"", DATEVALUE(MID($A683,4,3) &amp; LEFT($A683,3) &amp; RIGHT($A683,4)) + TIMEVALUE($B683), "")</f>
        <v/>
      </c>
      <c r="O683" s="48" t="str">
        <f>IF(Account!$F683&lt;&gt;"", DATEVALUE(MID($A683,4,3) &amp; LEFT($A683,3) &amp; RIGHT($A683,4)), "")</f>
        <v/>
      </c>
      <c r="P683" s="49" t="str">
        <f>IFERROR(VLOOKUP($Q683,Selection!$F:$G,2,false))</f>
        <v/>
      </c>
      <c r="Q683" s="50" t="str">
        <f>IF(AND($X683="change",$H683="EUR"),IF(AND($Z683="Crédit",$N683=$N684),$Q684,IF(AND($Z683="Débit",$N683=$N682),$Q682)),IF(OR(AND(OR($E683&lt;&gt;"",$L683=""),$M683&lt;&gt;0),$A683=""),IFERROR(VLOOKUP($E683,Selection!$E:$F,2,false)),IFERROR(VLOOKUP(SUBSTITUTE($I683,"-","",1),$K684:$Q1119,7,false),VLOOKUP($K683,$K684:$Q1119,7,false))))</f>
        <v/>
      </c>
      <c r="R683" s="49" t="str">
        <f t="shared" si="2"/>
        <v/>
      </c>
      <c r="S683" s="51" t="str">
        <f t="shared" si="3"/>
        <v/>
      </c>
      <c r="T683" s="52" t="str">
        <f t="shared" si="4"/>
        <v/>
      </c>
      <c r="U683" s="46" t="str">
        <f t="shared" si="5"/>
        <v/>
      </c>
      <c r="V683" s="53" t="str">
        <f>IFERROR(__xludf.DUMMYFUNCTION(" IF(Account!$F683&lt;&gt;"""", SPLIT(Account!$F683, "" ""), """")"),"")</f>
        <v/>
      </c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</row>
    <row r="684">
      <c r="A684" s="215"/>
      <c r="B684" s="215"/>
      <c r="C684" s="215"/>
      <c r="D684" s="215"/>
      <c r="E684" s="215"/>
      <c r="F684" s="373"/>
      <c r="G684" s="215"/>
      <c r="H684" s="215"/>
      <c r="I684" s="215"/>
      <c r="J684" s="215"/>
      <c r="K684" s="215"/>
      <c r="L684" s="45" t="str">
        <f t="shared" si="1"/>
        <v/>
      </c>
      <c r="M684" s="46" t="str">
        <f>IFERROR(__xludf.DUMMYFUNCTION("IF(Account!$F684&lt;&gt;"""", VALUE(REGEXREPLACE($I684, ""\,"", ""."")), """")"),"")</f>
        <v/>
      </c>
      <c r="N684" s="47" t="str">
        <f>IF(Account!$F684&lt;&gt;"", DATEVALUE(MID($A684,4,3) &amp; LEFT($A684,3) &amp; RIGHT($A684,4)) + TIMEVALUE($B684), "")</f>
        <v/>
      </c>
      <c r="O684" s="48" t="str">
        <f>IF(Account!$F684&lt;&gt;"", DATEVALUE(MID($A684,4,3) &amp; LEFT($A684,3) &amp; RIGHT($A684,4)), "")</f>
        <v/>
      </c>
      <c r="P684" s="49" t="str">
        <f>IFERROR(VLOOKUP($Q684,Selection!$F:$G,2,false))</f>
        <v/>
      </c>
      <c r="Q684" s="50" t="str">
        <f>IF(AND($X684="change",$H684="EUR"),IF(AND($Z684="Crédit",$N684=$N685),$Q685,IF(AND($Z684="Débit",$N684=$N683),$Q683)),IF(OR(AND(OR($E684&lt;&gt;"",$L684=""),$M684&lt;&gt;0),$A684=""),IFERROR(VLOOKUP($E684,Selection!$E:$F,2,false)),IFERROR(VLOOKUP(SUBSTITUTE($I684,"-","",1),$K685:$Q1119,7,false),VLOOKUP($K684,$K685:$Q1119,7,false))))</f>
        <v/>
      </c>
      <c r="R684" s="49" t="str">
        <f t="shared" si="2"/>
        <v/>
      </c>
      <c r="S684" s="51" t="str">
        <f t="shared" si="3"/>
        <v/>
      </c>
      <c r="T684" s="52" t="str">
        <f t="shared" si="4"/>
        <v/>
      </c>
      <c r="U684" s="46" t="str">
        <f t="shared" si="5"/>
        <v/>
      </c>
      <c r="V684" s="53" t="str">
        <f>IFERROR(__xludf.DUMMYFUNCTION(" IF(Account!$F684&lt;&gt;"""", SPLIT(Account!$F684, "" ""), """")"),"")</f>
        <v/>
      </c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</row>
    <row r="685">
      <c r="A685" s="215"/>
      <c r="B685" s="215"/>
      <c r="C685" s="215"/>
      <c r="D685" s="215"/>
      <c r="E685" s="215"/>
      <c r="F685" s="373"/>
      <c r="G685" s="215"/>
      <c r="H685" s="215"/>
      <c r="I685" s="215"/>
      <c r="J685" s="215"/>
      <c r="K685" s="215"/>
      <c r="L685" s="45" t="str">
        <f t="shared" si="1"/>
        <v/>
      </c>
      <c r="M685" s="46" t="str">
        <f>IFERROR(__xludf.DUMMYFUNCTION("IF(Account!$F685&lt;&gt;"""", VALUE(REGEXREPLACE($I685, ""\,"", ""."")), """")"),"")</f>
        <v/>
      </c>
      <c r="N685" s="47" t="str">
        <f>IF(Account!$F685&lt;&gt;"", DATEVALUE(MID($A685,4,3) &amp; LEFT($A685,3) &amp; RIGHT($A685,4)) + TIMEVALUE($B685), "")</f>
        <v/>
      </c>
      <c r="O685" s="48" t="str">
        <f>IF(Account!$F685&lt;&gt;"", DATEVALUE(MID($A685,4,3) &amp; LEFT($A685,3) &amp; RIGHT($A685,4)), "")</f>
        <v/>
      </c>
      <c r="P685" s="49" t="str">
        <f>IFERROR(VLOOKUP($Q685,Selection!$F:$G,2,false))</f>
        <v/>
      </c>
      <c r="Q685" s="50" t="str">
        <f>IF(AND($X685="change",$H685="EUR"),IF(AND($Z685="Crédit",$N685=$N686),$Q686,IF(AND($Z685="Débit",$N685=$N684),$Q684)),IF(OR(AND(OR($E685&lt;&gt;"",$L685=""),$M685&lt;&gt;0),$A685=""),IFERROR(VLOOKUP($E685,Selection!$E:$F,2,false)),IFERROR(VLOOKUP(SUBSTITUTE($I685,"-","",1),$K686:$Q1119,7,false),VLOOKUP($K685,$K686:$Q1119,7,false))))</f>
        <v/>
      </c>
      <c r="R685" s="49" t="str">
        <f t="shared" si="2"/>
        <v/>
      </c>
      <c r="S685" s="51" t="str">
        <f t="shared" si="3"/>
        <v/>
      </c>
      <c r="T685" s="52" t="str">
        <f t="shared" si="4"/>
        <v/>
      </c>
      <c r="U685" s="46" t="str">
        <f t="shared" si="5"/>
        <v/>
      </c>
      <c r="V685" s="53" t="str">
        <f>IFERROR(__xludf.DUMMYFUNCTION(" IF(Account!$F685&lt;&gt;"""", SPLIT(Account!$F685, "" ""), """")"),"")</f>
        <v/>
      </c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</row>
    <row r="686">
      <c r="A686" s="215"/>
      <c r="B686" s="215"/>
      <c r="C686" s="215"/>
      <c r="D686" s="215"/>
      <c r="E686" s="215"/>
      <c r="F686" s="373"/>
      <c r="G686" s="215"/>
      <c r="H686" s="215"/>
      <c r="I686" s="215"/>
      <c r="J686" s="215"/>
      <c r="K686" s="215"/>
      <c r="L686" s="45" t="str">
        <f t="shared" si="1"/>
        <v/>
      </c>
      <c r="M686" s="46" t="str">
        <f>IFERROR(__xludf.DUMMYFUNCTION("IF(Account!$F686&lt;&gt;"""", VALUE(REGEXREPLACE($I686, ""\,"", ""."")), """")"),"")</f>
        <v/>
      </c>
      <c r="N686" s="47" t="str">
        <f>IF(Account!$F686&lt;&gt;"", DATEVALUE(MID($A686,4,3) &amp; LEFT($A686,3) &amp; RIGHT($A686,4)) + TIMEVALUE($B686), "")</f>
        <v/>
      </c>
      <c r="O686" s="48" t="str">
        <f>IF(Account!$F686&lt;&gt;"", DATEVALUE(MID($A686,4,3) &amp; LEFT($A686,3) &amp; RIGHT($A686,4)), "")</f>
        <v/>
      </c>
      <c r="P686" s="49" t="str">
        <f>IFERROR(VLOOKUP($Q686,Selection!$F:$G,2,false))</f>
        <v/>
      </c>
      <c r="Q686" s="50" t="str">
        <f>IF(AND($X686="change",$H686="EUR"),IF(AND($Z686="Crédit",$N686=$N687),$Q687,IF(AND($Z686="Débit",$N686=$N685),$Q685)),IF(OR(AND(OR($E686&lt;&gt;"",$L686=""),$M686&lt;&gt;0),$A686=""),IFERROR(VLOOKUP($E686,Selection!$E:$F,2,false)),IFERROR(VLOOKUP(SUBSTITUTE($I686,"-","",1),$K687:$Q1119,7,false),VLOOKUP($K686,$K687:$Q1119,7,false))))</f>
        <v/>
      </c>
      <c r="R686" s="49" t="str">
        <f t="shared" si="2"/>
        <v/>
      </c>
      <c r="S686" s="51" t="str">
        <f t="shared" si="3"/>
        <v/>
      </c>
      <c r="T686" s="52" t="str">
        <f t="shared" si="4"/>
        <v/>
      </c>
      <c r="U686" s="46" t="str">
        <f t="shared" si="5"/>
        <v/>
      </c>
      <c r="V686" s="53" t="str">
        <f>IFERROR(__xludf.DUMMYFUNCTION(" IF(Account!$F686&lt;&gt;"""", SPLIT(Account!$F686, "" ""), """")"),"")</f>
        <v/>
      </c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</row>
    <row r="687">
      <c r="A687" s="215"/>
      <c r="B687" s="215"/>
      <c r="C687" s="215"/>
      <c r="D687" s="215"/>
      <c r="E687" s="215"/>
      <c r="F687" s="373"/>
      <c r="G687" s="215"/>
      <c r="H687" s="215"/>
      <c r="I687" s="215"/>
      <c r="J687" s="215"/>
      <c r="K687" s="215"/>
      <c r="L687" s="45" t="str">
        <f t="shared" si="1"/>
        <v/>
      </c>
      <c r="M687" s="46" t="str">
        <f>IFERROR(__xludf.DUMMYFUNCTION("IF(Account!$F687&lt;&gt;"""", VALUE(REGEXREPLACE($I687, ""\,"", ""."")), """")"),"")</f>
        <v/>
      </c>
      <c r="N687" s="47" t="str">
        <f>IF(Account!$F687&lt;&gt;"", DATEVALUE(MID($A687,4,3) &amp; LEFT($A687,3) &amp; RIGHT($A687,4)) + TIMEVALUE($B687), "")</f>
        <v/>
      </c>
      <c r="O687" s="48" t="str">
        <f>IF(Account!$F687&lt;&gt;"", DATEVALUE(MID($A687,4,3) &amp; LEFT($A687,3) &amp; RIGHT($A687,4)), "")</f>
        <v/>
      </c>
      <c r="P687" s="49" t="str">
        <f>IFERROR(VLOOKUP($Q687,Selection!$F:$G,2,false))</f>
        <v/>
      </c>
      <c r="Q687" s="50" t="str">
        <f>IF(AND($X687="change",$H687="EUR"),IF(AND($Z687="Crédit",$N687=$N688),$Q688,IF(AND($Z687="Débit",$N687=$N686),$Q686)),IF(OR(AND(OR($E687&lt;&gt;"",$L687=""),$M687&lt;&gt;0),$A687=""),IFERROR(VLOOKUP($E687,Selection!$E:$F,2,false)),IFERROR(VLOOKUP(SUBSTITUTE($I687,"-","",1),$K688:$Q1119,7,false),VLOOKUP($K687,$K688:$Q1119,7,false))))</f>
        <v/>
      </c>
      <c r="R687" s="49" t="str">
        <f t="shared" si="2"/>
        <v/>
      </c>
      <c r="S687" s="51" t="str">
        <f t="shared" si="3"/>
        <v/>
      </c>
      <c r="T687" s="52" t="str">
        <f t="shared" si="4"/>
        <v/>
      </c>
      <c r="U687" s="46" t="str">
        <f t="shared" si="5"/>
        <v/>
      </c>
      <c r="V687" s="53" t="str">
        <f>IFERROR(__xludf.DUMMYFUNCTION(" IF(Account!$F687&lt;&gt;"""", SPLIT(Account!$F687, "" ""), """")"),"")</f>
        <v/>
      </c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</row>
    <row r="688">
      <c r="A688" s="215"/>
      <c r="B688" s="215"/>
      <c r="C688" s="215"/>
      <c r="D688" s="215"/>
      <c r="E688" s="215"/>
      <c r="F688" s="373"/>
      <c r="G688" s="215"/>
      <c r="H688" s="215"/>
      <c r="I688" s="215"/>
      <c r="J688" s="215"/>
      <c r="K688" s="215"/>
      <c r="L688" s="45" t="str">
        <f t="shared" si="1"/>
        <v/>
      </c>
      <c r="M688" s="46" t="str">
        <f>IFERROR(__xludf.DUMMYFUNCTION("IF(Account!$F688&lt;&gt;"""", VALUE(REGEXREPLACE($I688, ""\,"", ""."")), """")"),"")</f>
        <v/>
      </c>
      <c r="N688" s="47" t="str">
        <f>IF(Account!$F688&lt;&gt;"", DATEVALUE(MID($A688,4,3) &amp; LEFT($A688,3) &amp; RIGHT($A688,4)) + TIMEVALUE($B688), "")</f>
        <v/>
      </c>
      <c r="O688" s="48" t="str">
        <f>IF(Account!$F688&lt;&gt;"", DATEVALUE(MID($A688,4,3) &amp; LEFT($A688,3) &amp; RIGHT($A688,4)), "")</f>
        <v/>
      </c>
      <c r="P688" s="49" t="str">
        <f>IFERROR(VLOOKUP($Q688,Selection!$F:$G,2,false))</f>
        <v/>
      </c>
      <c r="Q688" s="50" t="str">
        <f>IF(AND($X688="change",$H688="EUR"),IF(AND($Z688="Crédit",$N688=$N689),$Q689,IF(AND($Z688="Débit",$N688=$N687),$Q687)),IF(OR(AND(OR($E688&lt;&gt;"",$L688=""),$M688&lt;&gt;0),$A688=""),IFERROR(VLOOKUP($E688,Selection!$E:$F,2,false)),IFERROR(VLOOKUP(SUBSTITUTE($I688,"-","",1),$K689:$Q1119,7,false),VLOOKUP($K688,$K689:$Q1119,7,false))))</f>
        <v/>
      </c>
      <c r="R688" s="49" t="str">
        <f t="shared" si="2"/>
        <v/>
      </c>
      <c r="S688" s="51" t="str">
        <f t="shared" si="3"/>
        <v/>
      </c>
      <c r="T688" s="52" t="str">
        <f t="shared" si="4"/>
        <v/>
      </c>
      <c r="U688" s="46" t="str">
        <f t="shared" si="5"/>
        <v/>
      </c>
      <c r="V688" s="53" t="str">
        <f>IFERROR(__xludf.DUMMYFUNCTION(" IF(Account!$F688&lt;&gt;"""", SPLIT(Account!$F688, "" ""), """")"),"")</f>
        <v/>
      </c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</row>
    <row r="689">
      <c r="A689" s="215"/>
      <c r="B689" s="215"/>
      <c r="C689" s="215"/>
      <c r="D689" s="215"/>
      <c r="E689" s="215"/>
      <c r="F689" s="373"/>
      <c r="G689" s="215"/>
      <c r="H689" s="215"/>
      <c r="I689" s="215"/>
      <c r="J689" s="215"/>
      <c r="K689" s="215"/>
      <c r="L689" s="45" t="str">
        <f t="shared" si="1"/>
        <v/>
      </c>
      <c r="M689" s="46" t="str">
        <f>IFERROR(__xludf.DUMMYFUNCTION("IF(Account!$F689&lt;&gt;"""", VALUE(REGEXREPLACE($I689, ""\,"", ""."")), """")"),"")</f>
        <v/>
      </c>
      <c r="N689" s="47" t="str">
        <f>IF(Account!$F689&lt;&gt;"", DATEVALUE(MID($A689,4,3) &amp; LEFT($A689,3) &amp; RIGHT($A689,4)) + TIMEVALUE($B689), "")</f>
        <v/>
      </c>
      <c r="O689" s="48" t="str">
        <f>IF(Account!$F689&lt;&gt;"", DATEVALUE(MID($A689,4,3) &amp; LEFT($A689,3) &amp; RIGHT($A689,4)), "")</f>
        <v/>
      </c>
      <c r="P689" s="49" t="str">
        <f>IFERROR(VLOOKUP($Q689,Selection!$F:$G,2,false))</f>
        <v/>
      </c>
      <c r="Q689" s="50" t="str">
        <f>IF(AND($X689="change",$H689="EUR"),IF(AND($Z689="Crédit",$N689=$N690),$Q690,IF(AND($Z689="Débit",$N689=$N688),$Q688)),IF(OR(AND(OR($E689&lt;&gt;"",$L689=""),$M689&lt;&gt;0),$A689=""),IFERROR(VLOOKUP($E689,Selection!$E:$F,2,false)),IFERROR(VLOOKUP(SUBSTITUTE($I689,"-","",1),$K690:$Q1119,7,false),VLOOKUP($K689,$K690:$Q1119,7,false))))</f>
        <v/>
      </c>
      <c r="R689" s="49" t="str">
        <f t="shared" si="2"/>
        <v/>
      </c>
      <c r="S689" s="51" t="str">
        <f t="shared" si="3"/>
        <v/>
      </c>
      <c r="T689" s="52" t="str">
        <f t="shared" si="4"/>
        <v/>
      </c>
      <c r="U689" s="46" t="str">
        <f t="shared" si="5"/>
        <v/>
      </c>
      <c r="V689" s="53" t="str">
        <f>IFERROR(__xludf.DUMMYFUNCTION(" IF(Account!$F689&lt;&gt;"""", SPLIT(Account!$F689, "" ""), """")"),"")</f>
        <v/>
      </c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</row>
    <row r="690">
      <c r="A690" s="215"/>
      <c r="B690" s="215"/>
      <c r="C690" s="215"/>
      <c r="D690" s="215"/>
      <c r="E690" s="215"/>
      <c r="F690" s="373"/>
      <c r="G690" s="215"/>
      <c r="H690" s="215"/>
      <c r="I690" s="215"/>
      <c r="J690" s="215"/>
      <c r="K690" s="215"/>
      <c r="L690" s="45" t="str">
        <f t="shared" si="1"/>
        <v/>
      </c>
      <c r="M690" s="46" t="str">
        <f>IFERROR(__xludf.DUMMYFUNCTION("IF(Account!$F690&lt;&gt;"""", VALUE(REGEXREPLACE($I690, ""\,"", ""."")), """")"),"")</f>
        <v/>
      </c>
      <c r="N690" s="47" t="str">
        <f>IF(Account!$F690&lt;&gt;"", DATEVALUE(MID($A690,4,3) &amp; LEFT($A690,3) &amp; RIGHT($A690,4)) + TIMEVALUE($B690), "")</f>
        <v/>
      </c>
      <c r="O690" s="48" t="str">
        <f>IF(Account!$F690&lt;&gt;"", DATEVALUE(MID($A690,4,3) &amp; LEFT($A690,3) &amp; RIGHT($A690,4)), "")</f>
        <v/>
      </c>
      <c r="P690" s="49" t="str">
        <f>IFERROR(VLOOKUP($Q690,Selection!$F:$G,2,false))</f>
        <v/>
      </c>
      <c r="Q690" s="50" t="str">
        <f>IF(AND($X690="change",$H690="EUR"),IF(AND($Z690="Crédit",$N690=$N691),$Q691,IF(AND($Z690="Débit",$N690=$N689),$Q689)),IF(OR(AND(OR($E690&lt;&gt;"",$L690=""),$M690&lt;&gt;0),$A690=""),IFERROR(VLOOKUP($E690,Selection!$E:$F,2,false)),IFERROR(VLOOKUP(SUBSTITUTE($I690,"-","",1),$K691:$Q1119,7,false),VLOOKUP($K690,$K691:$Q1119,7,false))))</f>
        <v/>
      </c>
      <c r="R690" s="49" t="str">
        <f t="shared" si="2"/>
        <v/>
      </c>
      <c r="S690" s="51" t="str">
        <f t="shared" si="3"/>
        <v/>
      </c>
      <c r="T690" s="52" t="str">
        <f t="shared" si="4"/>
        <v/>
      </c>
      <c r="U690" s="46" t="str">
        <f t="shared" si="5"/>
        <v/>
      </c>
      <c r="V690" s="53" t="str">
        <f>IFERROR(__xludf.DUMMYFUNCTION(" IF(Account!$F690&lt;&gt;"""", SPLIT(Account!$F690, "" ""), """")"),"")</f>
        <v/>
      </c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</row>
    <row r="691">
      <c r="A691" s="215"/>
      <c r="B691" s="215"/>
      <c r="C691" s="215"/>
      <c r="D691" s="215"/>
      <c r="E691" s="215"/>
      <c r="F691" s="373"/>
      <c r="G691" s="215"/>
      <c r="H691" s="215"/>
      <c r="I691" s="215"/>
      <c r="J691" s="215"/>
      <c r="K691" s="215"/>
      <c r="L691" s="45" t="str">
        <f t="shared" si="1"/>
        <v/>
      </c>
      <c r="M691" s="46" t="str">
        <f>IFERROR(__xludf.DUMMYFUNCTION("IF(Account!$F691&lt;&gt;"""", VALUE(REGEXREPLACE($I691, ""\,"", ""."")), """")"),"")</f>
        <v/>
      </c>
      <c r="N691" s="47" t="str">
        <f>IF(Account!$F691&lt;&gt;"", DATEVALUE(MID($A691,4,3) &amp; LEFT($A691,3) &amp; RIGHT($A691,4)) + TIMEVALUE($B691), "")</f>
        <v/>
      </c>
      <c r="O691" s="48" t="str">
        <f>IF(Account!$F691&lt;&gt;"", DATEVALUE(MID($A691,4,3) &amp; LEFT($A691,3) &amp; RIGHT($A691,4)), "")</f>
        <v/>
      </c>
      <c r="P691" s="49" t="str">
        <f>IFERROR(VLOOKUP($Q691,Selection!$F:$G,2,false))</f>
        <v/>
      </c>
      <c r="Q691" s="50" t="str">
        <f>IF(AND($X691="change",$H691="EUR"),IF(AND($Z691="Crédit",$N691=$N692),$Q692,IF(AND($Z691="Débit",$N691=$N690),$Q690)),IF(OR(AND(OR($E691&lt;&gt;"",$L691=""),$M691&lt;&gt;0),$A691=""),IFERROR(VLOOKUP($E691,Selection!$E:$F,2,false)),IFERROR(VLOOKUP(SUBSTITUTE($I691,"-","",1),$K692:$Q1119,7,false),VLOOKUP($K691,$K692:$Q1119,7,false))))</f>
        <v/>
      </c>
      <c r="R691" s="49" t="str">
        <f t="shared" si="2"/>
        <v/>
      </c>
      <c r="S691" s="51" t="str">
        <f t="shared" si="3"/>
        <v/>
      </c>
      <c r="T691" s="52" t="str">
        <f t="shared" si="4"/>
        <v/>
      </c>
      <c r="U691" s="46" t="str">
        <f t="shared" si="5"/>
        <v/>
      </c>
      <c r="V691" s="53" t="str">
        <f>IFERROR(__xludf.DUMMYFUNCTION(" IF(Account!$F691&lt;&gt;"""", SPLIT(Account!$F691, "" ""), """")"),"")</f>
        <v/>
      </c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</row>
    <row r="692">
      <c r="A692" s="215"/>
      <c r="B692" s="215"/>
      <c r="C692" s="215"/>
      <c r="D692" s="215"/>
      <c r="E692" s="215"/>
      <c r="F692" s="373"/>
      <c r="G692" s="215"/>
      <c r="H692" s="215"/>
      <c r="I692" s="215"/>
      <c r="J692" s="215"/>
      <c r="K692" s="215"/>
      <c r="L692" s="45" t="str">
        <f t="shared" si="1"/>
        <v/>
      </c>
      <c r="M692" s="46" t="str">
        <f>IFERROR(__xludf.DUMMYFUNCTION("IF(Account!$F692&lt;&gt;"""", VALUE(REGEXREPLACE($I692, ""\,"", ""."")), """")"),"")</f>
        <v/>
      </c>
      <c r="N692" s="47" t="str">
        <f>IF(Account!$F692&lt;&gt;"", DATEVALUE(MID($A692,4,3) &amp; LEFT($A692,3) &amp; RIGHT($A692,4)) + TIMEVALUE($B692), "")</f>
        <v/>
      </c>
      <c r="O692" s="48" t="str">
        <f>IF(Account!$F692&lt;&gt;"", DATEVALUE(MID($A692,4,3) &amp; LEFT($A692,3) &amp; RIGHT($A692,4)), "")</f>
        <v/>
      </c>
      <c r="P692" s="49" t="str">
        <f>IFERROR(VLOOKUP($Q692,Selection!$F:$G,2,false))</f>
        <v/>
      </c>
      <c r="Q692" s="50" t="str">
        <f>IF(AND($X692="change",$H692="EUR"),IF(AND($Z692="Crédit",$N692=$N693),$Q693,IF(AND($Z692="Débit",$N692=$N691),$Q691)),IF(OR(AND(OR($E692&lt;&gt;"",$L692=""),$M692&lt;&gt;0),$A692=""),IFERROR(VLOOKUP($E692,Selection!$E:$F,2,false)),IFERROR(VLOOKUP(SUBSTITUTE($I692,"-","",1),$K693:$Q1119,7,false),VLOOKUP($K692,$K693:$Q1119,7,false))))</f>
        <v/>
      </c>
      <c r="R692" s="49" t="str">
        <f t="shared" si="2"/>
        <v/>
      </c>
      <c r="S692" s="51" t="str">
        <f t="shared" si="3"/>
        <v/>
      </c>
      <c r="T692" s="52" t="str">
        <f t="shared" si="4"/>
        <v/>
      </c>
      <c r="U692" s="46" t="str">
        <f t="shared" si="5"/>
        <v/>
      </c>
      <c r="V692" s="53" t="str">
        <f>IFERROR(__xludf.DUMMYFUNCTION(" IF(Account!$F692&lt;&gt;"""", SPLIT(Account!$F692, "" ""), """")"),"")</f>
        <v/>
      </c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</row>
    <row r="693">
      <c r="A693" s="215"/>
      <c r="B693" s="215"/>
      <c r="C693" s="215"/>
      <c r="D693" s="215"/>
      <c r="E693" s="215"/>
      <c r="F693" s="373"/>
      <c r="G693" s="215"/>
      <c r="H693" s="215"/>
      <c r="I693" s="215"/>
      <c r="J693" s="215"/>
      <c r="K693" s="215"/>
      <c r="L693" s="45" t="str">
        <f t="shared" si="1"/>
        <v/>
      </c>
      <c r="M693" s="46" t="str">
        <f>IFERROR(__xludf.DUMMYFUNCTION("IF(Account!$F693&lt;&gt;"""", VALUE(REGEXREPLACE($I693, ""\,"", ""."")), """")"),"")</f>
        <v/>
      </c>
      <c r="N693" s="47" t="str">
        <f>IF(Account!$F693&lt;&gt;"", DATEVALUE(MID($A693,4,3) &amp; LEFT($A693,3) &amp; RIGHT($A693,4)) + TIMEVALUE($B693), "")</f>
        <v/>
      </c>
      <c r="O693" s="48" t="str">
        <f>IF(Account!$F693&lt;&gt;"", DATEVALUE(MID($A693,4,3) &amp; LEFT($A693,3) &amp; RIGHT($A693,4)), "")</f>
        <v/>
      </c>
      <c r="P693" s="49" t="str">
        <f>IFERROR(VLOOKUP($Q693,Selection!$F:$G,2,false))</f>
        <v/>
      </c>
      <c r="Q693" s="50" t="str">
        <f>IF(AND($X693="change",$H693="EUR"),IF(AND($Z693="Crédit",$N693=$N694),$Q694,IF(AND($Z693="Débit",$N693=$N692),$Q692)),IF(OR(AND(OR($E693&lt;&gt;"",$L693=""),$M693&lt;&gt;0),$A693=""),IFERROR(VLOOKUP($E693,Selection!$E:$F,2,false)),IFERROR(VLOOKUP(SUBSTITUTE($I693,"-","",1),$K694:$Q1119,7,false),VLOOKUP($K693,$K694:$Q1119,7,false))))</f>
        <v/>
      </c>
      <c r="R693" s="49" t="str">
        <f t="shared" si="2"/>
        <v/>
      </c>
      <c r="S693" s="51" t="str">
        <f t="shared" si="3"/>
        <v/>
      </c>
      <c r="T693" s="52" t="str">
        <f t="shared" si="4"/>
        <v/>
      </c>
      <c r="U693" s="46" t="str">
        <f t="shared" si="5"/>
        <v/>
      </c>
      <c r="V693" s="53" t="str">
        <f>IFERROR(__xludf.DUMMYFUNCTION(" IF(Account!$F693&lt;&gt;"""", SPLIT(Account!$F693, "" ""), """")"),"")</f>
        <v/>
      </c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</row>
    <row r="694">
      <c r="A694" s="215"/>
      <c r="B694" s="215"/>
      <c r="C694" s="215"/>
      <c r="D694" s="215"/>
      <c r="E694" s="215"/>
      <c r="F694" s="373"/>
      <c r="G694" s="215"/>
      <c r="H694" s="215"/>
      <c r="I694" s="215"/>
      <c r="J694" s="215"/>
      <c r="K694" s="215"/>
      <c r="L694" s="45" t="str">
        <f t="shared" si="1"/>
        <v/>
      </c>
      <c r="M694" s="46" t="str">
        <f>IFERROR(__xludf.DUMMYFUNCTION("IF(Account!$F694&lt;&gt;"""", VALUE(REGEXREPLACE($I694, ""\,"", ""."")), """")"),"")</f>
        <v/>
      </c>
      <c r="N694" s="47" t="str">
        <f>IF(Account!$F694&lt;&gt;"", DATEVALUE(MID($A694,4,3) &amp; LEFT($A694,3) &amp; RIGHT($A694,4)) + TIMEVALUE($B694), "")</f>
        <v/>
      </c>
      <c r="O694" s="48" t="str">
        <f>IF(Account!$F694&lt;&gt;"", DATEVALUE(MID($A694,4,3) &amp; LEFT($A694,3) &amp; RIGHT($A694,4)), "")</f>
        <v/>
      </c>
      <c r="P694" s="49" t="str">
        <f>IFERROR(VLOOKUP($Q694,Selection!$F:$G,2,false))</f>
        <v/>
      </c>
      <c r="Q694" s="50" t="str">
        <f>IF(AND($X694="change",$H694="EUR"),IF(AND($Z694="Crédit",$N694=$N695),$Q695,IF(AND($Z694="Débit",$N694=$N693),$Q693)),IF(OR(AND(OR($E694&lt;&gt;"",$L694=""),$M694&lt;&gt;0),$A694=""),IFERROR(VLOOKUP($E694,Selection!$E:$F,2,false)),IFERROR(VLOOKUP(SUBSTITUTE($I694,"-","",1),$K695:$Q1119,7,false),VLOOKUP($K694,$K695:$Q1119,7,false))))</f>
        <v/>
      </c>
      <c r="R694" s="49" t="str">
        <f t="shared" si="2"/>
        <v/>
      </c>
      <c r="S694" s="51" t="str">
        <f t="shared" si="3"/>
        <v/>
      </c>
      <c r="T694" s="52" t="str">
        <f t="shared" si="4"/>
        <v/>
      </c>
      <c r="U694" s="46" t="str">
        <f t="shared" si="5"/>
        <v/>
      </c>
      <c r="V694" s="53" t="str">
        <f>IFERROR(__xludf.DUMMYFUNCTION(" IF(Account!$F694&lt;&gt;"""", SPLIT(Account!$F694, "" ""), """")"),"")</f>
        <v/>
      </c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</row>
    <row r="695">
      <c r="A695" s="215"/>
      <c r="B695" s="215"/>
      <c r="C695" s="215"/>
      <c r="D695" s="215"/>
      <c r="E695" s="215"/>
      <c r="F695" s="373"/>
      <c r="G695" s="215"/>
      <c r="H695" s="215"/>
      <c r="I695" s="215"/>
      <c r="J695" s="215"/>
      <c r="K695" s="215"/>
      <c r="L695" s="45" t="str">
        <f t="shared" si="1"/>
        <v/>
      </c>
      <c r="M695" s="46" t="str">
        <f>IFERROR(__xludf.DUMMYFUNCTION("IF(Account!$F695&lt;&gt;"""", VALUE(REGEXREPLACE($I695, ""\,"", ""."")), """")"),"")</f>
        <v/>
      </c>
      <c r="N695" s="47" t="str">
        <f>IF(Account!$F695&lt;&gt;"", DATEVALUE(MID($A695,4,3) &amp; LEFT($A695,3) &amp; RIGHT($A695,4)) + TIMEVALUE($B695), "")</f>
        <v/>
      </c>
      <c r="O695" s="48" t="str">
        <f>IF(Account!$F695&lt;&gt;"", DATEVALUE(MID($A695,4,3) &amp; LEFT($A695,3) &amp; RIGHT($A695,4)), "")</f>
        <v/>
      </c>
      <c r="P695" s="49" t="str">
        <f>IFERROR(VLOOKUP($Q695,Selection!$F:$G,2,false))</f>
        <v/>
      </c>
      <c r="Q695" s="50" t="str">
        <f>IF(AND($X695="change",$H695="EUR"),IF(AND($Z695="Crédit",$N695=$N696),$Q696,IF(AND($Z695="Débit",$N695=$N694),$Q694)),IF(OR(AND(OR($E695&lt;&gt;"",$L695=""),$M695&lt;&gt;0),$A695=""),IFERROR(VLOOKUP($E695,Selection!$E:$F,2,false)),IFERROR(VLOOKUP(SUBSTITUTE($I695,"-","",1),$K696:$Q1119,7,false),VLOOKUP($K695,$K696:$Q1119,7,false))))</f>
        <v/>
      </c>
      <c r="R695" s="49" t="str">
        <f t="shared" si="2"/>
        <v/>
      </c>
      <c r="S695" s="51" t="str">
        <f t="shared" si="3"/>
        <v/>
      </c>
      <c r="T695" s="52" t="str">
        <f t="shared" si="4"/>
        <v/>
      </c>
      <c r="U695" s="46" t="str">
        <f t="shared" si="5"/>
        <v/>
      </c>
      <c r="V695" s="53" t="str">
        <f>IFERROR(__xludf.DUMMYFUNCTION(" IF(Account!$F695&lt;&gt;"""", SPLIT(Account!$F695, "" ""), """")"),"")</f>
        <v/>
      </c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</row>
    <row r="696">
      <c r="A696" s="215"/>
      <c r="B696" s="215"/>
      <c r="C696" s="215"/>
      <c r="D696" s="215"/>
      <c r="E696" s="215"/>
      <c r="F696" s="373"/>
      <c r="G696" s="215"/>
      <c r="H696" s="215"/>
      <c r="I696" s="215"/>
      <c r="J696" s="215"/>
      <c r="K696" s="215"/>
      <c r="L696" s="45" t="str">
        <f t="shared" si="1"/>
        <v/>
      </c>
      <c r="M696" s="46" t="str">
        <f>IFERROR(__xludf.DUMMYFUNCTION("IF(Account!$F696&lt;&gt;"""", VALUE(REGEXREPLACE($I696, ""\,"", ""."")), """")"),"")</f>
        <v/>
      </c>
      <c r="N696" s="47" t="str">
        <f>IF(Account!$F696&lt;&gt;"", DATEVALUE(MID($A696,4,3) &amp; LEFT($A696,3) &amp; RIGHT($A696,4)) + TIMEVALUE($B696), "")</f>
        <v/>
      </c>
      <c r="O696" s="48" t="str">
        <f>IF(Account!$F696&lt;&gt;"", DATEVALUE(MID($A696,4,3) &amp; LEFT($A696,3) &amp; RIGHT($A696,4)), "")</f>
        <v/>
      </c>
      <c r="P696" s="49" t="str">
        <f>IFERROR(VLOOKUP($Q696,Selection!$F:$G,2,false))</f>
        <v/>
      </c>
      <c r="Q696" s="50" t="str">
        <f>IF(AND($X696="change",$H696="EUR"),IF(AND($Z696="Crédit",$N696=$N697),$Q697,IF(AND($Z696="Débit",$N696=$N695),$Q695)),IF(OR(AND(OR($E696&lt;&gt;"",$L696=""),$M696&lt;&gt;0),$A696=""),IFERROR(VLOOKUP($E696,Selection!$E:$F,2,false)),IFERROR(VLOOKUP(SUBSTITUTE($I696,"-","",1),$K697:$Q1119,7,false),VLOOKUP($K696,$K697:$Q1119,7,false))))</f>
        <v/>
      </c>
      <c r="R696" s="49" t="str">
        <f t="shared" si="2"/>
        <v/>
      </c>
      <c r="S696" s="51" t="str">
        <f t="shared" si="3"/>
        <v/>
      </c>
      <c r="T696" s="52" t="str">
        <f t="shared" si="4"/>
        <v/>
      </c>
      <c r="U696" s="46" t="str">
        <f t="shared" si="5"/>
        <v/>
      </c>
      <c r="V696" s="53" t="str">
        <f>IFERROR(__xludf.DUMMYFUNCTION(" IF(Account!$F696&lt;&gt;"""", SPLIT(Account!$F696, "" ""), """")"),"")</f>
        <v/>
      </c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</row>
    <row r="697">
      <c r="A697" s="215"/>
      <c r="B697" s="215"/>
      <c r="C697" s="215"/>
      <c r="D697" s="215"/>
      <c r="E697" s="215"/>
      <c r="F697" s="373"/>
      <c r="G697" s="215"/>
      <c r="H697" s="215"/>
      <c r="I697" s="215"/>
      <c r="J697" s="215"/>
      <c r="K697" s="215"/>
      <c r="L697" s="45" t="str">
        <f t="shared" si="1"/>
        <v/>
      </c>
      <c r="M697" s="46" t="str">
        <f>IFERROR(__xludf.DUMMYFUNCTION("IF(Account!$F697&lt;&gt;"""", VALUE(REGEXREPLACE($I697, ""\,"", ""."")), """")"),"")</f>
        <v/>
      </c>
      <c r="N697" s="47" t="str">
        <f>IF(Account!$F697&lt;&gt;"", DATEVALUE(MID($A697,4,3) &amp; LEFT($A697,3) &amp; RIGHT($A697,4)) + TIMEVALUE($B697), "")</f>
        <v/>
      </c>
      <c r="O697" s="48" t="str">
        <f>IF(Account!$F697&lt;&gt;"", DATEVALUE(MID($A697,4,3) &amp; LEFT($A697,3) &amp; RIGHT($A697,4)), "")</f>
        <v/>
      </c>
      <c r="P697" s="49" t="str">
        <f>IFERROR(VLOOKUP($Q697,Selection!$F:$G,2,false))</f>
        <v/>
      </c>
      <c r="Q697" s="50" t="str">
        <f>IF(AND($X697="change",$H697="EUR"),IF(AND($Z697="Crédit",$N697=$N698),$Q698,IF(AND($Z697="Débit",$N697=$N696),$Q696)),IF(OR(AND(OR($E697&lt;&gt;"",$L697=""),$M697&lt;&gt;0),$A697=""),IFERROR(VLOOKUP($E697,Selection!$E:$F,2,false)),IFERROR(VLOOKUP(SUBSTITUTE($I697,"-","",1),$K698:$Q1119,7,false),VLOOKUP($K697,$K698:$Q1119,7,false))))</f>
        <v/>
      </c>
      <c r="R697" s="49" t="str">
        <f t="shared" si="2"/>
        <v/>
      </c>
      <c r="S697" s="51" t="str">
        <f t="shared" si="3"/>
        <v/>
      </c>
      <c r="T697" s="52" t="str">
        <f t="shared" si="4"/>
        <v/>
      </c>
      <c r="U697" s="46" t="str">
        <f t="shared" si="5"/>
        <v/>
      </c>
      <c r="V697" s="53" t="str">
        <f>IFERROR(__xludf.DUMMYFUNCTION(" IF(Account!$F697&lt;&gt;"""", SPLIT(Account!$F697, "" ""), """")"),"")</f>
        <v/>
      </c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</row>
    <row r="698">
      <c r="A698" s="215"/>
      <c r="B698" s="215"/>
      <c r="C698" s="215"/>
      <c r="D698" s="215"/>
      <c r="E698" s="215"/>
      <c r="F698" s="373"/>
      <c r="G698" s="215"/>
      <c r="H698" s="215"/>
      <c r="I698" s="215"/>
      <c r="J698" s="215"/>
      <c r="K698" s="215"/>
      <c r="L698" s="45" t="str">
        <f t="shared" si="1"/>
        <v/>
      </c>
      <c r="M698" s="46" t="str">
        <f>IFERROR(__xludf.DUMMYFUNCTION("IF(Account!$F698&lt;&gt;"""", VALUE(REGEXREPLACE($I698, ""\,"", ""."")), """")"),"")</f>
        <v/>
      </c>
      <c r="N698" s="47" t="str">
        <f>IF(Account!$F698&lt;&gt;"", DATEVALUE(MID($A698,4,3) &amp; LEFT($A698,3) &amp; RIGHT($A698,4)) + TIMEVALUE($B698), "")</f>
        <v/>
      </c>
      <c r="O698" s="48" t="str">
        <f>IF(Account!$F698&lt;&gt;"", DATEVALUE(MID($A698,4,3) &amp; LEFT($A698,3) &amp; RIGHT($A698,4)), "")</f>
        <v/>
      </c>
      <c r="P698" s="49" t="str">
        <f>IFERROR(VLOOKUP($Q698,Selection!$F:$G,2,false))</f>
        <v/>
      </c>
      <c r="Q698" s="50" t="str">
        <f>IF(AND($X698="change",$H698="EUR"),IF(AND($Z698="Crédit",$N698=$N699),$Q699,IF(AND($Z698="Débit",$N698=$N697),$Q697)),IF(OR(AND(OR($E698&lt;&gt;"",$L698=""),$M698&lt;&gt;0),$A698=""),IFERROR(VLOOKUP($E698,Selection!$E:$F,2,false)),IFERROR(VLOOKUP(SUBSTITUTE($I698,"-","",1),$K699:$Q1119,7,false),VLOOKUP($K698,$K699:$Q1119,7,false))))</f>
        <v/>
      </c>
      <c r="R698" s="49" t="str">
        <f t="shared" si="2"/>
        <v/>
      </c>
      <c r="S698" s="51" t="str">
        <f t="shared" si="3"/>
        <v/>
      </c>
      <c r="T698" s="52" t="str">
        <f t="shared" si="4"/>
        <v/>
      </c>
      <c r="U698" s="46" t="str">
        <f t="shared" si="5"/>
        <v/>
      </c>
      <c r="V698" s="53" t="str">
        <f>IFERROR(__xludf.DUMMYFUNCTION(" IF(Account!$F698&lt;&gt;"""", SPLIT(Account!$F698, "" ""), """")"),"")</f>
        <v/>
      </c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</row>
    <row r="699">
      <c r="A699" s="215"/>
      <c r="B699" s="215"/>
      <c r="C699" s="215"/>
      <c r="D699" s="215"/>
      <c r="E699" s="215"/>
      <c r="F699" s="373"/>
      <c r="G699" s="215"/>
      <c r="H699" s="215"/>
      <c r="I699" s="215"/>
      <c r="J699" s="215"/>
      <c r="K699" s="215"/>
      <c r="L699" s="45" t="str">
        <f t="shared" si="1"/>
        <v/>
      </c>
      <c r="M699" s="46" t="str">
        <f>IFERROR(__xludf.DUMMYFUNCTION("IF(Account!$F699&lt;&gt;"""", VALUE(REGEXREPLACE($I699, ""\,"", ""."")), """")"),"")</f>
        <v/>
      </c>
      <c r="N699" s="47" t="str">
        <f>IF(Account!$F699&lt;&gt;"", DATEVALUE(MID($A699,4,3) &amp; LEFT($A699,3) &amp; RIGHT($A699,4)) + TIMEVALUE($B699), "")</f>
        <v/>
      </c>
      <c r="O699" s="48" t="str">
        <f>IF(Account!$F699&lt;&gt;"", DATEVALUE(MID($A699,4,3) &amp; LEFT($A699,3) &amp; RIGHT($A699,4)), "")</f>
        <v/>
      </c>
      <c r="P699" s="49" t="str">
        <f>IFERROR(VLOOKUP($Q699,Selection!$F:$G,2,false))</f>
        <v/>
      </c>
      <c r="Q699" s="50" t="str">
        <f>IF(AND($X699="change",$H699="EUR"),IF(AND($Z699="Crédit",$N699=$N700),$Q700,IF(AND($Z699="Débit",$N699=$N698),$Q698)),IF(OR(AND(OR($E699&lt;&gt;"",$L699=""),$M699&lt;&gt;0),$A699=""),IFERROR(VLOOKUP($E699,Selection!$E:$F,2,false)),IFERROR(VLOOKUP(SUBSTITUTE($I699,"-","",1),$K700:$Q1119,7,false),VLOOKUP($K699,$K700:$Q1119,7,false))))</f>
        <v/>
      </c>
      <c r="R699" s="49" t="str">
        <f t="shared" si="2"/>
        <v/>
      </c>
      <c r="S699" s="51" t="str">
        <f t="shared" si="3"/>
        <v/>
      </c>
      <c r="T699" s="52" t="str">
        <f t="shared" si="4"/>
        <v/>
      </c>
      <c r="U699" s="46" t="str">
        <f t="shared" si="5"/>
        <v/>
      </c>
      <c r="V699" s="53" t="str">
        <f>IFERROR(__xludf.DUMMYFUNCTION(" IF(Account!$F699&lt;&gt;"""", SPLIT(Account!$F699, "" ""), """")"),"")</f>
        <v/>
      </c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</row>
    <row r="700">
      <c r="A700" s="215"/>
      <c r="B700" s="215"/>
      <c r="C700" s="215"/>
      <c r="D700" s="215"/>
      <c r="E700" s="215"/>
      <c r="F700" s="373"/>
      <c r="G700" s="215"/>
      <c r="H700" s="215"/>
      <c r="I700" s="215"/>
      <c r="J700" s="215"/>
      <c r="K700" s="215"/>
      <c r="L700" s="45" t="str">
        <f t="shared" si="1"/>
        <v/>
      </c>
      <c r="M700" s="46" t="str">
        <f>IFERROR(__xludf.DUMMYFUNCTION("IF(Account!$F700&lt;&gt;"""", VALUE(REGEXREPLACE($I700, ""\,"", ""."")), """")"),"")</f>
        <v/>
      </c>
      <c r="N700" s="47" t="str">
        <f>IF(Account!$F700&lt;&gt;"", DATEVALUE(MID($A700,4,3) &amp; LEFT($A700,3) &amp; RIGHT($A700,4)) + TIMEVALUE($B700), "")</f>
        <v/>
      </c>
      <c r="O700" s="48" t="str">
        <f>IF(Account!$F700&lt;&gt;"", DATEVALUE(MID($A700,4,3) &amp; LEFT($A700,3) &amp; RIGHT($A700,4)), "")</f>
        <v/>
      </c>
      <c r="P700" s="49" t="str">
        <f>IFERROR(VLOOKUP($Q700,Selection!$F:$G,2,false))</f>
        <v/>
      </c>
      <c r="Q700" s="50" t="str">
        <f>IF(AND($X700="change",$H700="EUR"),IF(AND($Z700="Crédit",$N700=$N701),$Q701,IF(AND($Z700="Débit",$N700=$N699),$Q699)),IF(OR(AND(OR($E700&lt;&gt;"",$L700=""),$M700&lt;&gt;0),$A700=""),IFERROR(VLOOKUP($E700,Selection!$E:$F,2,false)),IFERROR(VLOOKUP(SUBSTITUTE($I700,"-","",1),$K701:$Q1119,7,false),VLOOKUP($K700,$K701:$Q1119,7,false))))</f>
        <v/>
      </c>
      <c r="R700" s="49" t="str">
        <f t="shared" si="2"/>
        <v/>
      </c>
      <c r="S700" s="51" t="str">
        <f t="shared" si="3"/>
        <v/>
      </c>
      <c r="T700" s="52" t="str">
        <f t="shared" si="4"/>
        <v/>
      </c>
      <c r="U700" s="46" t="str">
        <f t="shared" si="5"/>
        <v/>
      </c>
      <c r="V700" s="53" t="str">
        <f>IFERROR(__xludf.DUMMYFUNCTION(" IF(Account!$F700&lt;&gt;"""", SPLIT(Account!$F700, "" ""), """")"),"")</f>
        <v/>
      </c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</row>
    <row r="701">
      <c r="A701" s="215"/>
      <c r="B701" s="215"/>
      <c r="C701" s="215"/>
      <c r="D701" s="215"/>
      <c r="E701" s="215"/>
      <c r="F701" s="373"/>
      <c r="G701" s="215"/>
      <c r="H701" s="215"/>
      <c r="I701" s="215"/>
      <c r="J701" s="215"/>
      <c r="K701" s="215"/>
      <c r="L701" s="45" t="str">
        <f t="shared" si="1"/>
        <v/>
      </c>
      <c r="M701" s="46" t="str">
        <f>IFERROR(__xludf.DUMMYFUNCTION("IF(Account!$F701&lt;&gt;"""", VALUE(REGEXREPLACE($I701, ""\,"", ""."")), """")"),"")</f>
        <v/>
      </c>
      <c r="N701" s="47" t="str">
        <f>IF(Account!$F701&lt;&gt;"", DATEVALUE(MID($A701,4,3) &amp; LEFT($A701,3) &amp; RIGHT($A701,4)) + TIMEVALUE($B701), "")</f>
        <v/>
      </c>
      <c r="O701" s="48" t="str">
        <f>IF(Account!$F701&lt;&gt;"", DATEVALUE(MID($A701,4,3) &amp; LEFT($A701,3) &amp; RIGHT($A701,4)), "")</f>
        <v/>
      </c>
      <c r="P701" s="49" t="str">
        <f>IFERROR(VLOOKUP($Q701,Selection!$F:$G,2,false))</f>
        <v/>
      </c>
      <c r="Q701" s="50" t="str">
        <f>IF(AND($X701="change",$H701="EUR"),IF(AND($Z701="Crédit",$N701=$N702),$Q702,IF(AND($Z701="Débit",$N701=$N700),$Q700)),IF(OR(AND(OR($E701&lt;&gt;"",$L701=""),$M701&lt;&gt;0),$A701=""),IFERROR(VLOOKUP($E701,Selection!$E:$F,2,false)),IFERROR(VLOOKUP(SUBSTITUTE($I701,"-","",1),$K702:$Q1119,7,false),VLOOKUP($K701,$K702:$Q1119,7,false))))</f>
        <v/>
      </c>
      <c r="R701" s="49" t="str">
        <f t="shared" si="2"/>
        <v/>
      </c>
      <c r="S701" s="51" t="str">
        <f t="shared" si="3"/>
        <v/>
      </c>
      <c r="T701" s="52" t="str">
        <f t="shared" si="4"/>
        <v/>
      </c>
      <c r="U701" s="46" t="str">
        <f t="shared" si="5"/>
        <v/>
      </c>
      <c r="V701" s="53" t="str">
        <f>IFERROR(__xludf.DUMMYFUNCTION(" IF(Account!$F701&lt;&gt;"""", SPLIT(Account!$F701, "" ""), """")"),"")</f>
        <v/>
      </c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</row>
    <row r="702">
      <c r="A702" s="215"/>
      <c r="B702" s="215"/>
      <c r="C702" s="215"/>
      <c r="D702" s="215"/>
      <c r="E702" s="215"/>
      <c r="F702" s="373"/>
      <c r="G702" s="215"/>
      <c r="H702" s="215"/>
      <c r="I702" s="215"/>
      <c r="J702" s="215"/>
      <c r="K702" s="215"/>
      <c r="L702" s="45" t="str">
        <f t="shared" si="1"/>
        <v/>
      </c>
      <c r="M702" s="46" t="str">
        <f>IFERROR(__xludf.DUMMYFUNCTION("IF(Account!$F702&lt;&gt;"""", VALUE(REGEXREPLACE($I702, ""\,"", ""."")), """")"),"")</f>
        <v/>
      </c>
      <c r="N702" s="47" t="str">
        <f>IF(Account!$F702&lt;&gt;"", DATEVALUE(MID($A702,4,3) &amp; LEFT($A702,3) &amp; RIGHT($A702,4)) + TIMEVALUE($B702), "")</f>
        <v/>
      </c>
      <c r="O702" s="48" t="str">
        <f>IF(Account!$F702&lt;&gt;"", DATEVALUE(MID($A702,4,3) &amp; LEFT($A702,3) &amp; RIGHT($A702,4)), "")</f>
        <v/>
      </c>
      <c r="P702" s="49" t="str">
        <f>IFERROR(VLOOKUP($Q702,Selection!$F:$G,2,false))</f>
        <v/>
      </c>
      <c r="Q702" s="50" t="str">
        <f>IF(AND($X702="change",$H702="EUR"),IF(AND($Z702="Crédit",$N702=$N703),$Q703,IF(AND($Z702="Débit",$N702=$N701),$Q701)),IF(OR(AND(OR($E702&lt;&gt;"",$L702=""),$M702&lt;&gt;0),$A702=""),IFERROR(VLOOKUP($E702,Selection!$E:$F,2,false)),IFERROR(VLOOKUP(SUBSTITUTE($I702,"-","",1),$K703:$Q1119,7,false),VLOOKUP($K702,$K703:$Q1119,7,false))))</f>
        <v/>
      </c>
      <c r="R702" s="49" t="str">
        <f t="shared" si="2"/>
        <v/>
      </c>
      <c r="S702" s="51" t="str">
        <f t="shared" si="3"/>
        <v/>
      </c>
      <c r="T702" s="52" t="str">
        <f t="shared" si="4"/>
        <v/>
      </c>
      <c r="U702" s="46" t="str">
        <f t="shared" si="5"/>
        <v/>
      </c>
      <c r="V702" s="53" t="str">
        <f>IFERROR(__xludf.DUMMYFUNCTION(" IF(Account!$F702&lt;&gt;"""", SPLIT(Account!$F702, "" ""), """")"),"")</f>
        <v/>
      </c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</row>
    <row r="703">
      <c r="A703" s="215"/>
      <c r="B703" s="215"/>
      <c r="C703" s="215"/>
      <c r="D703" s="215"/>
      <c r="E703" s="215"/>
      <c r="F703" s="373"/>
      <c r="G703" s="215"/>
      <c r="H703" s="215"/>
      <c r="I703" s="215"/>
      <c r="J703" s="215"/>
      <c r="K703" s="215"/>
      <c r="L703" s="45" t="str">
        <f t="shared" si="1"/>
        <v/>
      </c>
      <c r="M703" s="46" t="str">
        <f>IFERROR(__xludf.DUMMYFUNCTION("IF(Account!$F703&lt;&gt;"""", VALUE(REGEXREPLACE($I703, ""\,"", ""."")), """")"),"")</f>
        <v/>
      </c>
      <c r="N703" s="47" t="str">
        <f>IF(Account!$F703&lt;&gt;"", DATEVALUE(MID($A703,4,3) &amp; LEFT($A703,3) &amp; RIGHT($A703,4)) + TIMEVALUE($B703), "")</f>
        <v/>
      </c>
      <c r="O703" s="48" t="str">
        <f>IF(Account!$F703&lt;&gt;"", DATEVALUE(MID($A703,4,3) &amp; LEFT($A703,3) &amp; RIGHT($A703,4)), "")</f>
        <v/>
      </c>
      <c r="P703" s="49" t="str">
        <f>IFERROR(VLOOKUP($Q703,Selection!$F:$G,2,false))</f>
        <v/>
      </c>
      <c r="Q703" s="50" t="str">
        <f>IF(AND($X703="change",$H703="EUR"),IF(AND($Z703="Crédit",$N703=$N704),$Q704,IF(AND($Z703="Débit",$N703=$N702),$Q702)),IF(OR(AND(OR($E703&lt;&gt;"",$L703=""),$M703&lt;&gt;0),$A703=""),IFERROR(VLOOKUP($E703,Selection!$E:$F,2,false)),IFERROR(VLOOKUP(SUBSTITUTE($I703,"-","",1),$K704:$Q1119,7,false),VLOOKUP($K703,$K704:$Q1119,7,false))))</f>
        <v/>
      </c>
      <c r="R703" s="49" t="str">
        <f t="shared" si="2"/>
        <v/>
      </c>
      <c r="S703" s="51" t="str">
        <f t="shared" si="3"/>
        <v/>
      </c>
      <c r="T703" s="52" t="str">
        <f t="shared" si="4"/>
        <v/>
      </c>
      <c r="U703" s="46" t="str">
        <f t="shared" si="5"/>
        <v/>
      </c>
      <c r="V703" s="53" t="str">
        <f>IFERROR(__xludf.DUMMYFUNCTION(" IF(Account!$F703&lt;&gt;"""", SPLIT(Account!$F703, "" ""), """")"),"")</f>
        <v/>
      </c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</row>
    <row r="704">
      <c r="A704" s="215"/>
      <c r="B704" s="215"/>
      <c r="C704" s="215"/>
      <c r="D704" s="215"/>
      <c r="E704" s="215"/>
      <c r="F704" s="373"/>
      <c r="G704" s="215"/>
      <c r="H704" s="215"/>
      <c r="I704" s="215"/>
      <c r="J704" s="215"/>
      <c r="K704" s="215"/>
      <c r="L704" s="45" t="str">
        <f t="shared" si="1"/>
        <v/>
      </c>
      <c r="M704" s="46" t="str">
        <f>IFERROR(__xludf.DUMMYFUNCTION("IF(Account!$F704&lt;&gt;"""", VALUE(REGEXREPLACE($I704, ""\,"", ""."")), """")"),"")</f>
        <v/>
      </c>
      <c r="N704" s="47" t="str">
        <f>IF(Account!$F704&lt;&gt;"", DATEVALUE(MID($A704,4,3) &amp; LEFT($A704,3) &amp; RIGHT($A704,4)) + TIMEVALUE($B704), "")</f>
        <v/>
      </c>
      <c r="O704" s="48" t="str">
        <f>IF(Account!$F704&lt;&gt;"", DATEVALUE(MID($A704,4,3) &amp; LEFT($A704,3) &amp; RIGHT($A704,4)), "")</f>
        <v/>
      </c>
      <c r="P704" s="49" t="str">
        <f>IFERROR(VLOOKUP($Q704,Selection!$F:$G,2,false))</f>
        <v/>
      </c>
      <c r="Q704" s="50" t="str">
        <f>IF(AND($X704="change",$H704="EUR"),IF(AND($Z704="Crédit",$N704=$N705),$Q705,IF(AND($Z704="Débit",$N704=$N703),$Q703)),IF(OR(AND(OR($E704&lt;&gt;"",$L704=""),$M704&lt;&gt;0),$A704=""),IFERROR(VLOOKUP($E704,Selection!$E:$F,2,false)),IFERROR(VLOOKUP(SUBSTITUTE($I704,"-","",1),$K705:$Q1119,7,false),VLOOKUP($K704,$K705:$Q1119,7,false))))</f>
        <v/>
      </c>
      <c r="R704" s="49" t="str">
        <f t="shared" si="2"/>
        <v/>
      </c>
      <c r="S704" s="51" t="str">
        <f t="shared" si="3"/>
        <v/>
      </c>
      <c r="T704" s="52" t="str">
        <f t="shared" si="4"/>
        <v/>
      </c>
      <c r="U704" s="46" t="str">
        <f t="shared" si="5"/>
        <v/>
      </c>
      <c r="V704" s="53" t="str">
        <f>IFERROR(__xludf.DUMMYFUNCTION(" IF(Account!$F704&lt;&gt;"""", SPLIT(Account!$F704, "" ""), """")"),"")</f>
        <v/>
      </c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</row>
    <row r="705">
      <c r="A705" s="215"/>
      <c r="B705" s="215"/>
      <c r="C705" s="215"/>
      <c r="D705" s="215"/>
      <c r="E705" s="215"/>
      <c r="F705" s="373"/>
      <c r="G705" s="215"/>
      <c r="H705" s="215"/>
      <c r="I705" s="215"/>
      <c r="J705" s="215"/>
      <c r="K705" s="215"/>
      <c r="L705" s="45" t="str">
        <f t="shared" si="1"/>
        <v/>
      </c>
      <c r="M705" s="46" t="str">
        <f>IFERROR(__xludf.DUMMYFUNCTION("IF(Account!$F705&lt;&gt;"""", VALUE(REGEXREPLACE($I705, ""\,"", ""."")), """")"),"")</f>
        <v/>
      </c>
      <c r="N705" s="47" t="str">
        <f>IF(Account!$F705&lt;&gt;"", DATEVALUE(MID($A705,4,3) &amp; LEFT($A705,3) &amp; RIGHT($A705,4)) + TIMEVALUE($B705), "")</f>
        <v/>
      </c>
      <c r="O705" s="48" t="str">
        <f>IF(Account!$F705&lt;&gt;"", DATEVALUE(MID($A705,4,3) &amp; LEFT($A705,3) &amp; RIGHT($A705,4)), "")</f>
        <v/>
      </c>
      <c r="P705" s="49" t="str">
        <f>IFERROR(VLOOKUP($Q705,Selection!$F:$G,2,false))</f>
        <v/>
      </c>
      <c r="Q705" s="50" t="str">
        <f>IF(AND($X705="change",$H705="EUR"),IF(AND($Z705="Crédit",$N705=$N706),$Q706,IF(AND($Z705="Débit",$N705=$N704),$Q704)),IF(OR(AND(OR($E705&lt;&gt;"",$L705=""),$M705&lt;&gt;0),$A705=""),IFERROR(VLOOKUP($E705,Selection!$E:$F,2,false)),IFERROR(VLOOKUP(SUBSTITUTE($I705,"-","",1),$K706:$Q1119,7,false),VLOOKUP($K705,$K706:$Q1119,7,false))))</f>
        <v/>
      </c>
      <c r="R705" s="49" t="str">
        <f t="shared" si="2"/>
        <v/>
      </c>
      <c r="S705" s="51" t="str">
        <f t="shared" si="3"/>
        <v/>
      </c>
      <c r="T705" s="52" t="str">
        <f t="shared" si="4"/>
        <v/>
      </c>
      <c r="U705" s="46" t="str">
        <f t="shared" si="5"/>
        <v/>
      </c>
      <c r="V705" s="53" t="str">
        <f>IFERROR(__xludf.DUMMYFUNCTION(" IF(Account!$F705&lt;&gt;"""", SPLIT(Account!$F705, "" ""), """")"),"")</f>
        <v/>
      </c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</row>
    <row r="706">
      <c r="A706" s="215"/>
      <c r="B706" s="215"/>
      <c r="C706" s="215"/>
      <c r="D706" s="215"/>
      <c r="E706" s="215"/>
      <c r="F706" s="373"/>
      <c r="G706" s="215"/>
      <c r="H706" s="215"/>
      <c r="I706" s="215"/>
      <c r="J706" s="215"/>
      <c r="K706" s="215"/>
      <c r="L706" s="45" t="str">
        <f t="shared" si="1"/>
        <v/>
      </c>
      <c r="M706" s="46" t="str">
        <f>IFERROR(__xludf.DUMMYFUNCTION("IF(Account!$F706&lt;&gt;"""", VALUE(REGEXREPLACE($I706, ""\,"", ""."")), """")"),"")</f>
        <v/>
      </c>
      <c r="N706" s="47" t="str">
        <f>IF(Account!$F706&lt;&gt;"", DATEVALUE(MID($A706,4,3) &amp; LEFT($A706,3) &amp; RIGHT($A706,4)) + TIMEVALUE($B706), "")</f>
        <v/>
      </c>
      <c r="O706" s="48" t="str">
        <f>IF(Account!$F706&lt;&gt;"", DATEVALUE(MID($A706,4,3) &amp; LEFT($A706,3) &amp; RIGHT($A706,4)), "")</f>
        <v/>
      </c>
      <c r="P706" s="49" t="str">
        <f>IFERROR(VLOOKUP($Q706,Selection!$F:$G,2,false))</f>
        <v/>
      </c>
      <c r="Q706" s="50" t="str">
        <f>IF(AND($X706="change",$H706="EUR"),IF(AND($Z706="Crédit",$N706=$N707),$Q707,IF(AND($Z706="Débit",$N706=$N705),$Q705)),IF(OR(AND(OR($E706&lt;&gt;"",$L706=""),$M706&lt;&gt;0),$A706=""),IFERROR(VLOOKUP($E706,Selection!$E:$F,2,false)),IFERROR(VLOOKUP(SUBSTITUTE($I706,"-","",1),$K707:$Q1119,7,false),VLOOKUP($K706,$K707:$Q1119,7,false))))</f>
        <v/>
      </c>
      <c r="R706" s="49" t="str">
        <f t="shared" si="2"/>
        <v/>
      </c>
      <c r="S706" s="51" t="str">
        <f t="shared" si="3"/>
        <v/>
      </c>
      <c r="T706" s="52" t="str">
        <f t="shared" si="4"/>
        <v/>
      </c>
      <c r="U706" s="46" t="str">
        <f t="shared" si="5"/>
        <v/>
      </c>
      <c r="V706" s="53" t="str">
        <f>IFERROR(__xludf.DUMMYFUNCTION(" IF(Account!$F706&lt;&gt;"""", SPLIT(Account!$F706, "" ""), """")"),"")</f>
        <v/>
      </c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</row>
    <row r="707">
      <c r="A707" s="215"/>
      <c r="B707" s="215"/>
      <c r="C707" s="215"/>
      <c r="D707" s="215"/>
      <c r="E707" s="215"/>
      <c r="F707" s="373"/>
      <c r="G707" s="215"/>
      <c r="H707" s="215"/>
      <c r="I707" s="215"/>
      <c r="J707" s="215"/>
      <c r="K707" s="215"/>
      <c r="L707" s="45" t="str">
        <f t="shared" si="1"/>
        <v/>
      </c>
      <c r="M707" s="46" t="str">
        <f>IFERROR(__xludf.DUMMYFUNCTION("IF(Account!$F707&lt;&gt;"""", VALUE(REGEXREPLACE($I707, ""\,"", ""."")), """")"),"")</f>
        <v/>
      </c>
      <c r="N707" s="47" t="str">
        <f>IF(Account!$F707&lt;&gt;"", DATEVALUE(MID($A707,4,3) &amp; LEFT($A707,3) &amp; RIGHT($A707,4)) + TIMEVALUE($B707), "")</f>
        <v/>
      </c>
      <c r="O707" s="48" t="str">
        <f>IF(Account!$F707&lt;&gt;"", DATEVALUE(MID($A707,4,3) &amp; LEFT($A707,3) &amp; RIGHT($A707,4)), "")</f>
        <v/>
      </c>
      <c r="P707" s="49" t="str">
        <f>IFERROR(VLOOKUP($Q707,Selection!$F:$G,2,false))</f>
        <v/>
      </c>
      <c r="Q707" s="50" t="str">
        <f>IF(AND($X707="change",$H707="EUR"),IF(AND($Z707="Crédit",$N707=$N708),$Q708,IF(AND($Z707="Débit",$N707=$N706),$Q706)),IF(OR(AND(OR($E707&lt;&gt;"",$L707=""),$M707&lt;&gt;0),$A707=""),IFERROR(VLOOKUP($E707,Selection!$E:$F,2,false)),IFERROR(VLOOKUP(SUBSTITUTE($I707,"-","",1),$K708:$Q1119,7,false),VLOOKUP($K707,$K708:$Q1119,7,false))))</f>
        <v/>
      </c>
      <c r="R707" s="49" t="str">
        <f t="shared" si="2"/>
        <v/>
      </c>
      <c r="S707" s="51" t="str">
        <f t="shared" si="3"/>
        <v/>
      </c>
      <c r="T707" s="52" t="str">
        <f t="shared" si="4"/>
        <v/>
      </c>
      <c r="U707" s="46" t="str">
        <f t="shared" si="5"/>
        <v/>
      </c>
      <c r="V707" s="53" t="str">
        <f>IFERROR(__xludf.DUMMYFUNCTION(" IF(Account!$F707&lt;&gt;"""", SPLIT(Account!$F707, "" ""), """")"),"")</f>
        <v/>
      </c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</row>
    <row r="708">
      <c r="A708" s="215"/>
      <c r="B708" s="215"/>
      <c r="C708" s="215"/>
      <c r="D708" s="215"/>
      <c r="E708" s="215"/>
      <c r="F708" s="373"/>
      <c r="G708" s="215"/>
      <c r="H708" s="215"/>
      <c r="I708" s="215"/>
      <c r="J708" s="215"/>
      <c r="K708" s="215"/>
      <c r="L708" s="45" t="str">
        <f t="shared" si="1"/>
        <v/>
      </c>
      <c r="M708" s="46" t="str">
        <f>IFERROR(__xludf.DUMMYFUNCTION("IF(Account!$F708&lt;&gt;"""", VALUE(REGEXREPLACE($I708, ""\,"", ""."")), """")"),"")</f>
        <v/>
      </c>
      <c r="N708" s="47" t="str">
        <f>IF(Account!$F708&lt;&gt;"", DATEVALUE(MID($A708,4,3) &amp; LEFT($A708,3) &amp; RIGHT($A708,4)) + TIMEVALUE($B708), "")</f>
        <v/>
      </c>
      <c r="O708" s="48" t="str">
        <f>IF(Account!$F708&lt;&gt;"", DATEVALUE(MID($A708,4,3) &amp; LEFT($A708,3) &amp; RIGHT($A708,4)), "")</f>
        <v/>
      </c>
      <c r="P708" s="49" t="str">
        <f>IFERROR(VLOOKUP($Q708,Selection!$F:$G,2,false))</f>
        <v/>
      </c>
      <c r="Q708" s="50" t="str">
        <f>IF(AND($X708="change",$H708="EUR"),IF(AND($Z708="Crédit",$N708=$N709),$Q709,IF(AND($Z708="Débit",$N708=$N707),$Q707)),IF(OR(AND(OR($E708&lt;&gt;"",$L708=""),$M708&lt;&gt;0),$A708=""),IFERROR(VLOOKUP($E708,Selection!$E:$F,2,false)),IFERROR(VLOOKUP(SUBSTITUTE($I708,"-","",1),$K709:$Q1119,7,false),VLOOKUP($K708,$K709:$Q1119,7,false))))</f>
        <v/>
      </c>
      <c r="R708" s="49" t="str">
        <f t="shared" si="2"/>
        <v/>
      </c>
      <c r="S708" s="51" t="str">
        <f t="shared" si="3"/>
        <v/>
      </c>
      <c r="T708" s="52" t="str">
        <f t="shared" si="4"/>
        <v/>
      </c>
      <c r="U708" s="46" t="str">
        <f t="shared" si="5"/>
        <v/>
      </c>
      <c r="V708" s="53" t="str">
        <f>IFERROR(__xludf.DUMMYFUNCTION(" IF(Account!$F708&lt;&gt;"""", SPLIT(Account!$F708, "" ""), """")"),"")</f>
        <v/>
      </c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</row>
    <row r="709">
      <c r="A709" s="215"/>
      <c r="B709" s="215"/>
      <c r="C709" s="215"/>
      <c r="D709" s="215"/>
      <c r="E709" s="215"/>
      <c r="F709" s="373"/>
      <c r="G709" s="215"/>
      <c r="H709" s="215"/>
      <c r="I709" s="215"/>
      <c r="J709" s="215"/>
      <c r="K709" s="215"/>
      <c r="L709" s="45" t="str">
        <f t="shared" si="1"/>
        <v/>
      </c>
      <c r="M709" s="46" t="str">
        <f>IFERROR(__xludf.DUMMYFUNCTION("IF(Account!$F709&lt;&gt;"""", VALUE(REGEXREPLACE($I709, ""\,"", ""."")), """")"),"")</f>
        <v/>
      </c>
      <c r="N709" s="47" t="str">
        <f>IF(Account!$F709&lt;&gt;"", DATEVALUE(MID($A709,4,3) &amp; LEFT($A709,3) &amp; RIGHT($A709,4)) + TIMEVALUE($B709), "")</f>
        <v/>
      </c>
      <c r="O709" s="48" t="str">
        <f>IF(Account!$F709&lt;&gt;"", DATEVALUE(MID($A709,4,3) &amp; LEFT($A709,3) &amp; RIGHT($A709,4)), "")</f>
        <v/>
      </c>
      <c r="P709" s="49" t="str">
        <f>IFERROR(VLOOKUP($Q709,Selection!$F:$G,2,false))</f>
        <v/>
      </c>
      <c r="Q709" s="50" t="str">
        <f>IF(AND($X709="change",$H709="EUR"),IF(AND($Z709="Crédit",$N709=$N710),$Q710,IF(AND($Z709="Débit",$N709=$N708),$Q708)),IF(OR(AND(OR($E709&lt;&gt;"",$L709=""),$M709&lt;&gt;0),$A709=""),IFERROR(VLOOKUP($E709,Selection!$E:$F,2,false)),IFERROR(VLOOKUP(SUBSTITUTE($I709,"-","",1),$K710:$Q1119,7,false),VLOOKUP($K709,$K710:$Q1119,7,false))))</f>
        <v/>
      </c>
      <c r="R709" s="49" t="str">
        <f t="shared" si="2"/>
        <v/>
      </c>
      <c r="S709" s="51" t="str">
        <f t="shared" si="3"/>
        <v/>
      </c>
      <c r="T709" s="52" t="str">
        <f t="shared" si="4"/>
        <v/>
      </c>
      <c r="U709" s="46" t="str">
        <f t="shared" si="5"/>
        <v/>
      </c>
      <c r="V709" s="53" t="str">
        <f>IFERROR(__xludf.DUMMYFUNCTION(" IF(Account!$F709&lt;&gt;"""", SPLIT(Account!$F709, "" ""), """")"),"")</f>
        <v/>
      </c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</row>
    <row r="710">
      <c r="A710" s="215"/>
      <c r="B710" s="215"/>
      <c r="C710" s="215"/>
      <c r="D710" s="215"/>
      <c r="E710" s="215"/>
      <c r="F710" s="373"/>
      <c r="G710" s="215"/>
      <c r="H710" s="215"/>
      <c r="I710" s="215"/>
      <c r="J710" s="215"/>
      <c r="K710" s="215"/>
      <c r="L710" s="45" t="str">
        <f t="shared" si="1"/>
        <v/>
      </c>
      <c r="M710" s="46" t="str">
        <f>IFERROR(__xludf.DUMMYFUNCTION("IF(Account!$F710&lt;&gt;"""", VALUE(REGEXREPLACE($I710, ""\,"", ""."")), """")"),"")</f>
        <v/>
      </c>
      <c r="N710" s="47" t="str">
        <f>IF(Account!$F710&lt;&gt;"", DATEVALUE(MID($A710,4,3) &amp; LEFT($A710,3) &amp; RIGHT($A710,4)) + TIMEVALUE($B710), "")</f>
        <v/>
      </c>
      <c r="O710" s="48" t="str">
        <f>IF(Account!$F710&lt;&gt;"", DATEVALUE(MID($A710,4,3) &amp; LEFT($A710,3) &amp; RIGHT($A710,4)), "")</f>
        <v/>
      </c>
      <c r="P710" s="49" t="str">
        <f>IFERROR(VLOOKUP($Q710,Selection!$F:$G,2,false))</f>
        <v/>
      </c>
      <c r="Q710" s="50" t="str">
        <f>IF(AND($X710="change",$H710="EUR"),IF(AND($Z710="Crédit",$N710=$N711),$Q711,IF(AND($Z710="Débit",$N710=$N709),$Q709)),IF(OR(AND(OR($E710&lt;&gt;"",$L710=""),$M710&lt;&gt;0),$A710=""),IFERROR(VLOOKUP($E710,Selection!$E:$F,2,false)),IFERROR(VLOOKUP(SUBSTITUTE($I710,"-","",1),$K711:$Q1119,7,false),VLOOKUP($K710,$K711:$Q1119,7,false))))</f>
        <v/>
      </c>
      <c r="R710" s="49" t="str">
        <f t="shared" si="2"/>
        <v/>
      </c>
      <c r="S710" s="51" t="str">
        <f t="shared" si="3"/>
        <v/>
      </c>
      <c r="T710" s="52" t="str">
        <f t="shared" si="4"/>
        <v/>
      </c>
      <c r="U710" s="46" t="str">
        <f t="shared" si="5"/>
        <v/>
      </c>
      <c r="V710" s="53" t="str">
        <f>IFERROR(__xludf.DUMMYFUNCTION(" IF(Account!$F710&lt;&gt;"""", SPLIT(Account!$F710, "" ""), """")"),"")</f>
        <v/>
      </c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</row>
    <row r="711">
      <c r="A711" s="215"/>
      <c r="B711" s="215"/>
      <c r="C711" s="215"/>
      <c r="D711" s="215"/>
      <c r="E711" s="215"/>
      <c r="F711" s="373"/>
      <c r="G711" s="215"/>
      <c r="H711" s="215"/>
      <c r="I711" s="215"/>
      <c r="J711" s="215"/>
      <c r="K711" s="215"/>
      <c r="L711" s="45" t="str">
        <f t="shared" si="1"/>
        <v/>
      </c>
      <c r="M711" s="46" t="str">
        <f>IFERROR(__xludf.DUMMYFUNCTION("IF(Account!$F711&lt;&gt;"""", VALUE(REGEXREPLACE($I711, ""\,"", ""."")), """")"),"")</f>
        <v/>
      </c>
      <c r="N711" s="47" t="str">
        <f>IF(Account!$F711&lt;&gt;"", DATEVALUE(MID($A711,4,3) &amp; LEFT($A711,3) &amp; RIGHT($A711,4)) + TIMEVALUE($B711), "")</f>
        <v/>
      </c>
      <c r="O711" s="48" t="str">
        <f>IF(Account!$F711&lt;&gt;"", DATEVALUE(MID($A711,4,3) &amp; LEFT($A711,3) &amp; RIGHT($A711,4)), "")</f>
        <v/>
      </c>
      <c r="P711" s="49" t="str">
        <f>IFERROR(VLOOKUP($Q711,Selection!$F:$G,2,false))</f>
        <v/>
      </c>
      <c r="Q711" s="50" t="str">
        <f>IF(AND($X711="change",$H711="EUR"),IF(AND($Z711="Crédit",$N711=$N712),$Q712,IF(AND($Z711="Débit",$N711=$N710),$Q710)),IF(OR(AND(OR($E711&lt;&gt;"",$L711=""),$M711&lt;&gt;0),$A711=""),IFERROR(VLOOKUP($E711,Selection!$E:$F,2,false)),IFERROR(VLOOKUP(SUBSTITUTE($I711,"-","",1),$K712:$Q1119,7,false),VLOOKUP($K711,$K712:$Q1119,7,false))))</f>
        <v/>
      </c>
      <c r="R711" s="49" t="str">
        <f t="shared" si="2"/>
        <v/>
      </c>
      <c r="S711" s="51" t="str">
        <f t="shared" si="3"/>
        <v/>
      </c>
      <c r="T711" s="52" t="str">
        <f t="shared" si="4"/>
        <v/>
      </c>
      <c r="U711" s="46" t="str">
        <f t="shared" si="5"/>
        <v/>
      </c>
      <c r="V711" s="53" t="str">
        <f>IFERROR(__xludf.DUMMYFUNCTION(" IF(Account!$F711&lt;&gt;"""", SPLIT(Account!$F711, "" ""), """")"),"")</f>
        <v/>
      </c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</row>
    <row r="712">
      <c r="A712" s="215"/>
      <c r="B712" s="215"/>
      <c r="C712" s="215"/>
      <c r="D712" s="215"/>
      <c r="E712" s="215"/>
      <c r="F712" s="373"/>
      <c r="G712" s="215"/>
      <c r="H712" s="215"/>
      <c r="I712" s="215"/>
      <c r="J712" s="215"/>
      <c r="K712" s="215"/>
      <c r="L712" s="45" t="str">
        <f t="shared" si="1"/>
        <v/>
      </c>
      <c r="M712" s="46" t="str">
        <f>IFERROR(__xludf.DUMMYFUNCTION("IF(Account!$F712&lt;&gt;"""", VALUE(REGEXREPLACE($I712, ""\,"", ""."")), """")"),"")</f>
        <v/>
      </c>
      <c r="N712" s="47" t="str">
        <f>IF(Account!$F712&lt;&gt;"", DATEVALUE(MID($A712,4,3) &amp; LEFT($A712,3) &amp; RIGHT($A712,4)) + TIMEVALUE($B712), "")</f>
        <v/>
      </c>
      <c r="O712" s="48" t="str">
        <f>IF(Account!$F712&lt;&gt;"", DATEVALUE(MID($A712,4,3) &amp; LEFT($A712,3) &amp; RIGHT($A712,4)), "")</f>
        <v/>
      </c>
      <c r="P712" s="49" t="str">
        <f>IFERROR(VLOOKUP($Q712,Selection!$F:$G,2,false))</f>
        <v/>
      </c>
      <c r="Q712" s="50" t="str">
        <f>IF(AND($X712="change",$H712="EUR"),IF(AND($Z712="Crédit",$N712=$N713),$Q713,IF(AND($Z712="Débit",$N712=$N711),$Q711)),IF(OR(AND(OR($E712&lt;&gt;"",$L712=""),$M712&lt;&gt;0),$A712=""),IFERROR(VLOOKUP($E712,Selection!$E:$F,2,false)),IFERROR(VLOOKUP(SUBSTITUTE($I712,"-","",1),$K713:$Q1119,7,false),VLOOKUP($K712,$K713:$Q1119,7,false))))</f>
        <v/>
      </c>
      <c r="R712" s="49" t="str">
        <f t="shared" si="2"/>
        <v/>
      </c>
      <c r="S712" s="51" t="str">
        <f t="shared" si="3"/>
        <v/>
      </c>
      <c r="T712" s="52" t="str">
        <f t="shared" si="4"/>
        <v/>
      </c>
      <c r="U712" s="46" t="str">
        <f t="shared" si="5"/>
        <v/>
      </c>
      <c r="V712" s="53" t="str">
        <f>IFERROR(__xludf.DUMMYFUNCTION(" IF(Account!$F712&lt;&gt;"""", SPLIT(Account!$F712, "" ""), """")"),"")</f>
        <v/>
      </c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</row>
    <row r="713">
      <c r="A713" s="215"/>
      <c r="B713" s="215"/>
      <c r="C713" s="215"/>
      <c r="D713" s="215"/>
      <c r="E713" s="215"/>
      <c r="F713" s="373"/>
      <c r="G713" s="215"/>
      <c r="H713" s="215"/>
      <c r="I713" s="215"/>
      <c r="J713" s="215"/>
      <c r="K713" s="215"/>
      <c r="L713" s="45" t="str">
        <f t="shared" si="1"/>
        <v/>
      </c>
      <c r="M713" s="46" t="str">
        <f>IFERROR(__xludf.DUMMYFUNCTION("IF(Account!$F713&lt;&gt;"""", VALUE(REGEXREPLACE($I713, ""\,"", ""."")), """")"),"")</f>
        <v/>
      </c>
      <c r="N713" s="47" t="str">
        <f>IF(Account!$F713&lt;&gt;"", DATEVALUE(MID($A713,4,3) &amp; LEFT($A713,3) &amp; RIGHT($A713,4)) + TIMEVALUE($B713), "")</f>
        <v/>
      </c>
      <c r="O713" s="48" t="str">
        <f>IF(Account!$F713&lt;&gt;"", DATEVALUE(MID($A713,4,3) &amp; LEFT($A713,3) &amp; RIGHT($A713,4)), "")</f>
        <v/>
      </c>
      <c r="P713" s="49" t="str">
        <f>IFERROR(VLOOKUP($Q713,Selection!$F:$G,2,false))</f>
        <v/>
      </c>
      <c r="Q713" s="50" t="str">
        <f>IF(AND($X713="change",$H713="EUR"),IF(AND($Z713="Crédit",$N713=$N714),$Q714,IF(AND($Z713="Débit",$N713=$N712),$Q712)),IF(OR(AND(OR($E713&lt;&gt;"",$L713=""),$M713&lt;&gt;0),$A713=""),IFERROR(VLOOKUP($E713,Selection!$E:$F,2,false)),IFERROR(VLOOKUP(SUBSTITUTE($I713,"-","",1),$K714:$Q1119,7,false),VLOOKUP($K713,$K714:$Q1119,7,false))))</f>
        <v/>
      </c>
      <c r="R713" s="49" t="str">
        <f t="shared" si="2"/>
        <v/>
      </c>
      <c r="S713" s="51" t="str">
        <f t="shared" si="3"/>
        <v/>
      </c>
      <c r="T713" s="52" t="str">
        <f t="shared" si="4"/>
        <v/>
      </c>
      <c r="U713" s="46" t="str">
        <f t="shared" si="5"/>
        <v/>
      </c>
      <c r="V713" s="53" t="str">
        <f>IFERROR(__xludf.DUMMYFUNCTION(" IF(Account!$F713&lt;&gt;"""", SPLIT(Account!$F713, "" ""), """")"),"")</f>
        <v/>
      </c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</row>
    <row r="714">
      <c r="A714" s="215"/>
      <c r="B714" s="215"/>
      <c r="C714" s="215"/>
      <c r="D714" s="215"/>
      <c r="E714" s="215"/>
      <c r="F714" s="373"/>
      <c r="G714" s="215"/>
      <c r="H714" s="215"/>
      <c r="I714" s="215"/>
      <c r="J714" s="215"/>
      <c r="K714" s="215"/>
      <c r="L714" s="45" t="str">
        <f t="shared" si="1"/>
        <v/>
      </c>
      <c r="M714" s="46" t="str">
        <f>IFERROR(__xludf.DUMMYFUNCTION("IF(Account!$F714&lt;&gt;"""", VALUE(REGEXREPLACE($I714, ""\,"", ""."")), """")"),"")</f>
        <v/>
      </c>
      <c r="N714" s="47" t="str">
        <f>IF(Account!$F714&lt;&gt;"", DATEVALUE(MID($A714,4,3) &amp; LEFT($A714,3) &amp; RIGHT($A714,4)) + TIMEVALUE($B714), "")</f>
        <v/>
      </c>
      <c r="O714" s="48" t="str">
        <f>IF(Account!$F714&lt;&gt;"", DATEVALUE(MID($A714,4,3) &amp; LEFT($A714,3) &amp; RIGHT($A714,4)), "")</f>
        <v/>
      </c>
      <c r="P714" s="49" t="str">
        <f>IFERROR(VLOOKUP($Q714,Selection!$F:$G,2,false))</f>
        <v/>
      </c>
      <c r="Q714" s="50" t="str">
        <f>IF(AND($X714="change",$H714="EUR"),IF(AND($Z714="Crédit",$N714=$N715),$Q715,IF(AND($Z714="Débit",$N714=$N713),$Q713)),IF(OR(AND(OR($E714&lt;&gt;"",$L714=""),$M714&lt;&gt;0),$A714=""),IFERROR(VLOOKUP($E714,Selection!$E:$F,2,false)),IFERROR(VLOOKUP(SUBSTITUTE($I714,"-","",1),$K715:$Q1119,7,false),VLOOKUP($K714,$K715:$Q1119,7,false))))</f>
        <v/>
      </c>
      <c r="R714" s="49" t="str">
        <f t="shared" si="2"/>
        <v/>
      </c>
      <c r="S714" s="51" t="str">
        <f t="shared" si="3"/>
        <v/>
      </c>
      <c r="T714" s="52" t="str">
        <f t="shared" si="4"/>
        <v/>
      </c>
      <c r="U714" s="46" t="str">
        <f t="shared" si="5"/>
        <v/>
      </c>
      <c r="V714" s="53" t="str">
        <f>IFERROR(__xludf.DUMMYFUNCTION(" IF(Account!$F714&lt;&gt;"""", SPLIT(Account!$F714, "" ""), """")"),"")</f>
        <v/>
      </c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</row>
    <row r="715">
      <c r="A715" s="215"/>
      <c r="B715" s="215"/>
      <c r="C715" s="215"/>
      <c r="D715" s="215"/>
      <c r="E715" s="215"/>
      <c r="F715" s="373"/>
      <c r="G715" s="215"/>
      <c r="H715" s="215"/>
      <c r="I715" s="215"/>
      <c r="J715" s="215"/>
      <c r="K715" s="215"/>
      <c r="L715" s="45" t="str">
        <f t="shared" si="1"/>
        <v/>
      </c>
      <c r="M715" s="46" t="str">
        <f>IFERROR(__xludf.DUMMYFUNCTION("IF(Account!$F715&lt;&gt;"""", VALUE(REGEXREPLACE($I715, ""\,"", ""."")), """")"),"")</f>
        <v/>
      </c>
      <c r="N715" s="47" t="str">
        <f>IF(Account!$F715&lt;&gt;"", DATEVALUE(MID($A715,4,3) &amp; LEFT($A715,3) &amp; RIGHT($A715,4)) + TIMEVALUE($B715), "")</f>
        <v/>
      </c>
      <c r="O715" s="48" t="str">
        <f>IF(Account!$F715&lt;&gt;"", DATEVALUE(MID($A715,4,3) &amp; LEFT($A715,3) &amp; RIGHT($A715,4)), "")</f>
        <v/>
      </c>
      <c r="P715" s="49" t="str">
        <f>IFERROR(VLOOKUP($Q715,Selection!$F:$G,2,false))</f>
        <v/>
      </c>
      <c r="Q715" s="50" t="str">
        <f>IF(AND($X715="change",$H715="EUR"),IF(AND($Z715="Crédit",$N715=$N716),$Q716,IF(AND($Z715="Débit",$N715=$N714),$Q714)),IF(OR(AND(OR($E715&lt;&gt;"",$L715=""),$M715&lt;&gt;0),$A715=""),IFERROR(VLOOKUP($E715,Selection!$E:$F,2,false)),IFERROR(VLOOKUP(SUBSTITUTE($I715,"-","",1),$K716:$Q1119,7,false),VLOOKUP($K715,$K716:$Q1119,7,false))))</f>
        <v/>
      </c>
      <c r="R715" s="49" t="str">
        <f t="shared" si="2"/>
        <v/>
      </c>
      <c r="S715" s="51" t="str">
        <f t="shared" si="3"/>
        <v/>
      </c>
      <c r="T715" s="52" t="str">
        <f t="shared" si="4"/>
        <v/>
      </c>
      <c r="U715" s="46" t="str">
        <f t="shared" si="5"/>
        <v/>
      </c>
      <c r="V715" s="53" t="str">
        <f>IFERROR(__xludf.DUMMYFUNCTION(" IF(Account!$F715&lt;&gt;"""", SPLIT(Account!$F715, "" ""), """")"),"")</f>
        <v/>
      </c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</row>
    <row r="716">
      <c r="A716" s="215"/>
      <c r="B716" s="215"/>
      <c r="C716" s="215"/>
      <c r="D716" s="215"/>
      <c r="E716" s="215"/>
      <c r="F716" s="373"/>
      <c r="G716" s="215"/>
      <c r="H716" s="215"/>
      <c r="I716" s="215"/>
      <c r="J716" s="215"/>
      <c r="K716" s="215"/>
      <c r="L716" s="45" t="str">
        <f t="shared" si="1"/>
        <v/>
      </c>
      <c r="M716" s="46" t="str">
        <f>IFERROR(__xludf.DUMMYFUNCTION("IF(Account!$F716&lt;&gt;"""", VALUE(REGEXREPLACE($I716, ""\,"", ""."")), """")"),"")</f>
        <v/>
      </c>
      <c r="N716" s="47" t="str">
        <f>IF(Account!$F716&lt;&gt;"", DATEVALUE(MID($A716,4,3) &amp; LEFT($A716,3) &amp; RIGHT($A716,4)) + TIMEVALUE($B716), "")</f>
        <v/>
      </c>
      <c r="O716" s="48" t="str">
        <f>IF(Account!$F716&lt;&gt;"", DATEVALUE(MID($A716,4,3) &amp; LEFT($A716,3) &amp; RIGHT($A716,4)), "")</f>
        <v/>
      </c>
      <c r="P716" s="49" t="str">
        <f>IFERROR(VLOOKUP($Q716,Selection!$F:$G,2,false))</f>
        <v/>
      </c>
      <c r="Q716" s="50" t="str">
        <f>IF(AND($X716="change",$H716="EUR"),IF(AND($Z716="Crédit",$N716=$N717),$Q717,IF(AND($Z716="Débit",$N716=$N715),$Q715)),IF(OR(AND(OR($E716&lt;&gt;"",$L716=""),$M716&lt;&gt;0),$A716=""),IFERROR(VLOOKUP($E716,Selection!$E:$F,2,false)),IFERROR(VLOOKUP(SUBSTITUTE($I716,"-","",1),$K717:$Q1119,7,false),VLOOKUP($K716,$K717:$Q1119,7,false))))</f>
        <v/>
      </c>
      <c r="R716" s="49" t="str">
        <f t="shared" si="2"/>
        <v/>
      </c>
      <c r="S716" s="51" t="str">
        <f t="shared" si="3"/>
        <v/>
      </c>
      <c r="T716" s="52" t="str">
        <f t="shared" si="4"/>
        <v/>
      </c>
      <c r="U716" s="46" t="str">
        <f t="shared" si="5"/>
        <v/>
      </c>
      <c r="V716" s="53" t="str">
        <f>IFERROR(__xludf.DUMMYFUNCTION(" IF(Account!$F716&lt;&gt;"""", SPLIT(Account!$F716, "" ""), """")"),"")</f>
        <v/>
      </c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</row>
    <row r="717">
      <c r="A717" s="215"/>
      <c r="B717" s="215"/>
      <c r="C717" s="215"/>
      <c r="D717" s="215"/>
      <c r="E717" s="215"/>
      <c r="F717" s="373"/>
      <c r="G717" s="215"/>
      <c r="H717" s="215"/>
      <c r="I717" s="215"/>
      <c r="J717" s="215"/>
      <c r="K717" s="215"/>
      <c r="L717" s="45" t="str">
        <f t="shared" si="1"/>
        <v/>
      </c>
      <c r="M717" s="46" t="str">
        <f>IFERROR(__xludf.DUMMYFUNCTION("IF(Account!$F717&lt;&gt;"""", VALUE(REGEXREPLACE($I717, ""\,"", ""."")), """")"),"")</f>
        <v/>
      </c>
      <c r="N717" s="47" t="str">
        <f>IF(Account!$F717&lt;&gt;"", DATEVALUE(MID($A717,4,3) &amp; LEFT($A717,3) &amp; RIGHT($A717,4)) + TIMEVALUE($B717), "")</f>
        <v/>
      </c>
      <c r="O717" s="48" t="str">
        <f>IF(Account!$F717&lt;&gt;"", DATEVALUE(MID($A717,4,3) &amp; LEFT($A717,3) &amp; RIGHT($A717,4)), "")</f>
        <v/>
      </c>
      <c r="P717" s="49" t="str">
        <f>IFERROR(VLOOKUP($Q717,Selection!$F:$G,2,false))</f>
        <v/>
      </c>
      <c r="Q717" s="50" t="str">
        <f>IF(AND($X717="change",$H717="EUR"),IF(AND($Z717="Crédit",$N717=$N718),$Q718,IF(AND($Z717="Débit",$N717=$N716),$Q716)),IF(OR(AND(OR($E717&lt;&gt;"",$L717=""),$M717&lt;&gt;0),$A717=""),IFERROR(VLOOKUP($E717,Selection!$E:$F,2,false)),IFERROR(VLOOKUP(SUBSTITUTE($I717,"-","",1),$K718:$Q1119,7,false),VLOOKUP($K717,$K718:$Q1119,7,false))))</f>
        <v/>
      </c>
      <c r="R717" s="49" t="str">
        <f t="shared" si="2"/>
        <v/>
      </c>
      <c r="S717" s="51" t="str">
        <f t="shared" si="3"/>
        <v/>
      </c>
      <c r="T717" s="52" t="str">
        <f t="shared" si="4"/>
        <v/>
      </c>
      <c r="U717" s="46" t="str">
        <f t="shared" si="5"/>
        <v/>
      </c>
      <c r="V717" s="53" t="str">
        <f>IFERROR(__xludf.DUMMYFUNCTION(" IF(Account!$F717&lt;&gt;"""", SPLIT(Account!$F717, "" ""), """")"),"")</f>
        <v/>
      </c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</row>
    <row r="718">
      <c r="A718" s="215"/>
      <c r="B718" s="215"/>
      <c r="C718" s="215"/>
      <c r="D718" s="215"/>
      <c r="E718" s="215"/>
      <c r="F718" s="373"/>
      <c r="G718" s="215"/>
      <c r="H718" s="215"/>
      <c r="I718" s="215"/>
      <c r="J718" s="215"/>
      <c r="K718" s="215"/>
      <c r="L718" s="45" t="str">
        <f t="shared" si="1"/>
        <v/>
      </c>
      <c r="M718" s="46" t="str">
        <f>IFERROR(__xludf.DUMMYFUNCTION("IF(Account!$F718&lt;&gt;"""", VALUE(REGEXREPLACE($I718, ""\,"", ""."")), """")"),"")</f>
        <v/>
      </c>
      <c r="N718" s="47" t="str">
        <f>IF(Account!$F718&lt;&gt;"", DATEVALUE(MID($A718,4,3) &amp; LEFT($A718,3) &amp; RIGHT($A718,4)) + TIMEVALUE($B718), "")</f>
        <v/>
      </c>
      <c r="O718" s="48" t="str">
        <f>IF(Account!$F718&lt;&gt;"", DATEVALUE(MID($A718,4,3) &amp; LEFT($A718,3) &amp; RIGHT($A718,4)), "")</f>
        <v/>
      </c>
      <c r="P718" s="49" t="str">
        <f>IFERROR(VLOOKUP($Q718,Selection!$F:$G,2,false))</f>
        <v/>
      </c>
      <c r="Q718" s="50" t="str">
        <f>IF(AND($X718="change",$H718="EUR"),IF(AND($Z718="Crédit",$N718=$N719),$Q719,IF(AND($Z718="Débit",$N718=$N717),$Q717)),IF(OR(AND(OR($E718&lt;&gt;"",$L718=""),$M718&lt;&gt;0),$A718=""),IFERROR(VLOOKUP($E718,Selection!$E:$F,2,false)),IFERROR(VLOOKUP(SUBSTITUTE($I718,"-","",1),$K719:$Q1119,7,false),VLOOKUP($K718,$K719:$Q1119,7,false))))</f>
        <v/>
      </c>
      <c r="R718" s="49" t="str">
        <f t="shared" si="2"/>
        <v/>
      </c>
      <c r="S718" s="51" t="str">
        <f t="shared" si="3"/>
        <v/>
      </c>
      <c r="T718" s="52" t="str">
        <f t="shared" si="4"/>
        <v/>
      </c>
      <c r="U718" s="46" t="str">
        <f t="shared" si="5"/>
        <v/>
      </c>
      <c r="V718" s="53" t="str">
        <f>IFERROR(__xludf.DUMMYFUNCTION(" IF(Account!$F718&lt;&gt;"""", SPLIT(Account!$F718, "" ""), """")"),"")</f>
        <v/>
      </c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</row>
    <row r="719">
      <c r="A719" s="215"/>
      <c r="B719" s="215"/>
      <c r="C719" s="215"/>
      <c r="D719" s="215"/>
      <c r="E719" s="215"/>
      <c r="F719" s="373"/>
      <c r="G719" s="215"/>
      <c r="H719" s="215"/>
      <c r="I719" s="215"/>
      <c r="J719" s="215"/>
      <c r="K719" s="215"/>
      <c r="L719" s="45" t="str">
        <f t="shared" si="1"/>
        <v/>
      </c>
      <c r="M719" s="46" t="str">
        <f>IFERROR(__xludf.DUMMYFUNCTION("IF(Account!$F719&lt;&gt;"""", VALUE(REGEXREPLACE($I719, ""\,"", ""."")), """")"),"")</f>
        <v/>
      </c>
      <c r="N719" s="47" t="str">
        <f>IF(Account!$F719&lt;&gt;"", DATEVALUE(MID($A719,4,3) &amp; LEFT($A719,3) &amp; RIGHT($A719,4)) + TIMEVALUE($B719), "")</f>
        <v/>
      </c>
      <c r="O719" s="48" t="str">
        <f>IF(Account!$F719&lt;&gt;"", DATEVALUE(MID($A719,4,3) &amp; LEFT($A719,3) &amp; RIGHT($A719,4)), "")</f>
        <v/>
      </c>
      <c r="P719" s="49" t="str">
        <f>IFERROR(VLOOKUP($Q719,Selection!$F:$G,2,false))</f>
        <v/>
      </c>
      <c r="Q719" s="50" t="str">
        <f>IF(AND($X719="change",$H719="EUR"),IF(AND($Z719="Crédit",$N719=$N720),$Q720,IF(AND($Z719="Débit",$N719=$N718),$Q718)),IF(OR(AND(OR($E719&lt;&gt;"",$L719=""),$M719&lt;&gt;0),$A719=""),IFERROR(VLOOKUP($E719,Selection!$E:$F,2,false)),IFERROR(VLOOKUP(SUBSTITUTE($I719,"-","",1),$K720:$Q1119,7,false),VLOOKUP($K719,$K720:$Q1119,7,false))))</f>
        <v/>
      </c>
      <c r="R719" s="49" t="str">
        <f t="shared" si="2"/>
        <v/>
      </c>
      <c r="S719" s="51" t="str">
        <f t="shared" si="3"/>
        <v/>
      </c>
      <c r="T719" s="52" t="str">
        <f t="shared" si="4"/>
        <v/>
      </c>
      <c r="U719" s="46" t="str">
        <f t="shared" si="5"/>
        <v/>
      </c>
      <c r="V719" s="53" t="str">
        <f>IFERROR(__xludf.DUMMYFUNCTION(" IF(Account!$F719&lt;&gt;"""", SPLIT(Account!$F719, "" ""), """")"),"")</f>
        <v/>
      </c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</row>
    <row r="720">
      <c r="A720" s="215"/>
      <c r="B720" s="215"/>
      <c r="C720" s="215"/>
      <c r="D720" s="215"/>
      <c r="E720" s="215"/>
      <c r="F720" s="373"/>
      <c r="G720" s="215"/>
      <c r="H720" s="215"/>
      <c r="I720" s="215"/>
      <c r="J720" s="215"/>
      <c r="K720" s="215"/>
      <c r="L720" s="45" t="str">
        <f t="shared" si="1"/>
        <v/>
      </c>
      <c r="M720" s="46" t="str">
        <f>IFERROR(__xludf.DUMMYFUNCTION("IF(Account!$F720&lt;&gt;"""", VALUE(REGEXREPLACE($I720, ""\,"", ""."")), """")"),"")</f>
        <v/>
      </c>
      <c r="N720" s="47" t="str">
        <f>IF(Account!$F720&lt;&gt;"", DATEVALUE(MID($A720,4,3) &amp; LEFT($A720,3) &amp; RIGHT($A720,4)) + TIMEVALUE($B720), "")</f>
        <v/>
      </c>
      <c r="O720" s="48" t="str">
        <f>IF(Account!$F720&lt;&gt;"", DATEVALUE(MID($A720,4,3) &amp; LEFT($A720,3) &amp; RIGHT($A720,4)), "")</f>
        <v/>
      </c>
      <c r="P720" s="49" t="str">
        <f>IFERROR(VLOOKUP($Q720,Selection!$F:$G,2,false))</f>
        <v/>
      </c>
      <c r="Q720" s="50" t="str">
        <f>IF(AND($X720="change",$H720="EUR"),IF(AND($Z720="Crédit",$N720=$N721),$Q721,IF(AND($Z720="Débit",$N720=$N719),$Q719)),IF(OR(AND(OR($E720&lt;&gt;"",$L720=""),$M720&lt;&gt;0),$A720=""),IFERROR(VLOOKUP($E720,Selection!$E:$F,2,false)),IFERROR(VLOOKUP(SUBSTITUTE($I720,"-","",1),$K721:$Q1119,7,false),VLOOKUP($K720,$K721:$Q1119,7,false))))</f>
        <v/>
      </c>
      <c r="R720" s="49" t="str">
        <f t="shared" si="2"/>
        <v/>
      </c>
      <c r="S720" s="51" t="str">
        <f t="shared" si="3"/>
        <v/>
      </c>
      <c r="T720" s="52" t="str">
        <f t="shared" si="4"/>
        <v/>
      </c>
      <c r="U720" s="46" t="str">
        <f t="shared" si="5"/>
        <v/>
      </c>
      <c r="V720" s="53" t="str">
        <f>IFERROR(__xludf.DUMMYFUNCTION(" IF(Account!$F720&lt;&gt;"""", SPLIT(Account!$F720, "" ""), """")"),"")</f>
        <v/>
      </c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</row>
    <row r="721">
      <c r="A721" s="215"/>
      <c r="B721" s="215"/>
      <c r="C721" s="215"/>
      <c r="D721" s="215"/>
      <c r="E721" s="215"/>
      <c r="F721" s="373"/>
      <c r="G721" s="215"/>
      <c r="H721" s="215"/>
      <c r="I721" s="215"/>
      <c r="J721" s="215"/>
      <c r="K721" s="215"/>
      <c r="L721" s="45" t="str">
        <f t="shared" si="1"/>
        <v/>
      </c>
      <c r="M721" s="46" t="str">
        <f>IFERROR(__xludf.DUMMYFUNCTION("IF(Account!$F721&lt;&gt;"""", VALUE(REGEXREPLACE($I721, ""\,"", ""."")), """")"),"")</f>
        <v/>
      </c>
      <c r="N721" s="47" t="str">
        <f>IF(Account!$F721&lt;&gt;"", DATEVALUE(MID($A721,4,3) &amp; LEFT($A721,3) &amp; RIGHT($A721,4)) + TIMEVALUE($B721), "")</f>
        <v/>
      </c>
      <c r="O721" s="48" t="str">
        <f>IF(Account!$F721&lt;&gt;"", DATEVALUE(MID($A721,4,3) &amp; LEFT($A721,3) &amp; RIGHT($A721,4)), "")</f>
        <v/>
      </c>
      <c r="P721" s="49" t="str">
        <f>IFERROR(VLOOKUP($Q721,Selection!$F:$G,2,false))</f>
        <v/>
      </c>
      <c r="Q721" s="50" t="str">
        <f>IF(AND($X721="change",$H721="EUR"),IF(AND($Z721="Crédit",$N721=$N722),$Q722,IF(AND($Z721="Débit",$N721=$N720),$Q720)),IF(OR(AND(OR($E721&lt;&gt;"",$L721=""),$M721&lt;&gt;0),$A721=""),IFERROR(VLOOKUP($E721,Selection!$E:$F,2,false)),IFERROR(VLOOKUP(SUBSTITUTE($I721,"-","",1),$K722:$Q1119,7,false),VLOOKUP($K721,$K722:$Q1119,7,false))))</f>
        <v/>
      </c>
      <c r="R721" s="49" t="str">
        <f t="shared" si="2"/>
        <v/>
      </c>
      <c r="S721" s="51" t="str">
        <f t="shared" si="3"/>
        <v/>
      </c>
      <c r="T721" s="52" t="str">
        <f t="shared" si="4"/>
        <v/>
      </c>
      <c r="U721" s="46" t="str">
        <f t="shared" si="5"/>
        <v/>
      </c>
      <c r="V721" s="53" t="str">
        <f>IFERROR(__xludf.DUMMYFUNCTION(" IF(Account!$F721&lt;&gt;"""", SPLIT(Account!$F721, "" ""), """")"),"")</f>
        <v/>
      </c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</row>
    <row r="722">
      <c r="A722" s="215"/>
      <c r="B722" s="215"/>
      <c r="C722" s="215"/>
      <c r="D722" s="215"/>
      <c r="E722" s="215"/>
      <c r="F722" s="373"/>
      <c r="G722" s="215"/>
      <c r="H722" s="215"/>
      <c r="I722" s="215"/>
      <c r="J722" s="215"/>
      <c r="K722" s="215"/>
      <c r="L722" s="45" t="str">
        <f t="shared" si="1"/>
        <v/>
      </c>
      <c r="M722" s="46" t="str">
        <f>IFERROR(__xludf.DUMMYFUNCTION("IF(Account!$F722&lt;&gt;"""", VALUE(REGEXREPLACE($I722, ""\,"", ""."")), """")"),"")</f>
        <v/>
      </c>
      <c r="N722" s="47" t="str">
        <f>IF(Account!$F722&lt;&gt;"", DATEVALUE(MID($A722,4,3) &amp; LEFT($A722,3) &amp; RIGHT($A722,4)) + TIMEVALUE($B722), "")</f>
        <v/>
      </c>
      <c r="O722" s="48" t="str">
        <f>IF(Account!$F722&lt;&gt;"", DATEVALUE(MID($A722,4,3) &amp; LEFT($A722,3) &amp; RIGHT($A722,4)), "")</f>
        <v/>
      </c>
      <c r="P722" s="49" t="str">
        <f>IFERROR(VLOOKUP($Q722,Selection!$F:$G,2,false))</f>
        <v/>
      </c>
      <c r="Q722" s="50" t="str">
        <f>IF(AND($X722="change",$H722="EUR"),IF(AND($Z722="Crédit",$N722=$N723),$Q723,IF(AND($Z722="Débit",$N722=$N721),$Q721)),IF(OR(AND(OR($E722&lt;&gt;"",$L722=""),$M722&lt;&gt;0),$A722=""),IFERROR(VLOOKUP($E722,Selection!$E:$F,2,false)),IFERROR(VLOOKUP(SUBSTITUTE($I722,"-","",1),$K723:$Q1119,7,false),VLOOKUP($K722,$K723:$Q1119,7,false))))</f>
        <v/>
      </c>
      <c r="R722" s="49" t="str">
        <f t="shared" si="2"/>
        <v/>
      </c>
      <c r="S722" s="51" t="str">
        <f t="shared" si="3"/>
        <v/>
      </c>
      <c r="T722" s="52" t="str">
        <f t="shared" si="4"/>
        <v/>
      </c>
      <c r="U722" s="46" t="str">
        <f t="shared" si="5"/>
        <v/>
      </c>
      <c r="V722" s="53" t="str">
        <f>IFERROR(__xludf.DUMMYFUNCTION(" IF(Account!$F722&lt;&gt;"""", SPLIT(Account!$F722, "" ""), """")"),"")</f>
        <v/>
      </c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</row>
    <row r="723">
      <c r="A723" s="215"/>
      <c r="B723" s="215"/>
      <c r="C723" s="215"/>
      <c r="D723" s="215"/>
      <c r="E723" s="215"/>
      <c r="F723" s="373"/>
      <c r="G723" s="215"/>
      <c r="H723" s="215"/>
      <c r="I723" s="215"/>
      <c r="J723" s="215"/>
      <c r="K723" s="215"/>
      <c r="L723" s="45" t="str">
        <f t="shared" si="1"/>
        <v/>
      </c>
      <c r="M723" s="46" t="str">
        <f>IFERROR(__xludf.DUMMYFUNCTION("IF(Account!$F723&lt;&gt;"""", VALUE(REGEXREPLACE($I723, ""\,"", ""."")), """")"),"")</f>
        <v/>
      </c>
      <c r="N723" s="47" t="str">
        <f>IF(Account!$F723&lt;&gt;"", DATEVALUE(MID($A723,4,3) &amp; LEFT($A723,3) &amp; RIGHT($A723,4)) + TIMEVALUE($B723), "")</f>
        <v/>
      </c>
      <c r="O723" s="48" t="str">
        <f>IF(Account!$F723&lt;&gt;"", DATEVALUE(MID($A723,4,3) &amp; LEFT($A723,3) &amp; RIGHT($A723,4)), "")</f>
        <v/>
      </c>
      <c r="P723" s="49" t="str">
        <f>IFERROR(VLOOKUP($Q723,Selection!$F:$G,2,false))</f>
        <v/>
      </c>
      <c r="Q723" s="50" t="str">
        <f>IF(AND($X723="change",$H723="EUR"),IF(AND($Z723="Crédit",$N723=$N724),$Q724,IF(AND($Z723="Débit",$N723=$N722),$Q722)),IF(OR(AND(OR($E723&lt;&gt;"",$L723=""),$M723&lt;&gt;0),$A723=""),IFERROR(VLOOKUP($E723,Selection!$E:$F,2,false)),IFERROR(VLOOKUP(SUBSTITUTE($I723,"-","",1),$K724:$Q1119,7,false),VLOOKUP($K723,$K724:$Q1119,7,false))))</f>
        <v/>
      </c>
      <c r="R723" s="49" t="str">
        <f t="shared" si="2"/>
        <v/>
      </c>
      <c r="S723" s="51" t="str">
        <f t="shared" si="3"/>
        <v/>
      </c>
      <c r="T723" s="52" t="str">
        <f t="shared" si="4"/>
        <v/>
      </c>
      <c r="U723" s="46" t="str">
        <f t="shared" si="5"/>
        <v/>
      </c>
      <c r="V723" s="53" t="str">
        <f>IFERROR(__xludf.DUMMYFUNCTION(" IF(Account!$F723&lt;&gt;"""", SPLIT(Account!$F723, "" ""), """")"),"")</f>
        <v/>
      </c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</row>
    <row r="724">
      <c r="A724" s="215"/>
      <c r="B724" s="215"/>
      <c r="C724" s="215"/>
      <c r="D724" s="215"/>
      <c r="E724" s="215"/>
      <c r="F724" s="373"/>
      <c r="G724" s="215"/>
      <c r="H724" s="215"/>
      <c r="I724" s="215"/>
      <c r="J724" s="215"/>
      <c r="K724" s="215"/>
      <c r="L724" s="45" t="str">
        <f t="shared" si="1"/>
        <v/>
      </c>
      <c r="M724" s="46" t="str">
        <f>IFERROR(__xludf.DUMMYFUNCTION("IF(Account!$F724&lt;&gt;"""", VALUE(REGEXREPLACE($I724, ""\,"", ""."")), """")"),"")</f>
        <v/>
      </c>
      <c r="N724" s="47" t="str">
        <f>IF(Account!$F724&lt;&gt;"", DATEVALUE(MID($A724,4,3) &amp; LEFT($A724,3) &amp; RIGHT($A724,4)) + TIMEVALUE($B724), "")</f>
        <v/>
      </c>
      <c r="O724" s="48" t="str">
        <f>IF(Account!$F724&lt;&gt;"", DATEVALUE(MID($A724,4,3) &amp; LEFT($A724,3) &amp; RIGHT($A724,4)), "")</f>
        <v/>
      </c>
      <c r="P724" s="49" t="str">
        <f>IFERROR(VLOOKUP($Q724,Selection!$F:$G,2,false))</f>
        <v/>
      </c>
      <c r="Q724" s="50" t="str">
        <f>IF(AND($X724="change",$H724="EUR"),IF(AND($Z724="Crédit",$N724=$N725),$Q725,IF(AND($Z724="Débit",$N724=$N723),$Q723)),IF(OR(AND(OR($E724&lt;&gt;"",$L724=""),$M724&lt;&gt;0),$A724=""),IFERROR(VLOOKUP($E724,Selection!$E:$F,2,false)),IFERROR(VLOOKUP(SUBSTITUTE($I724,"-","",1),$K725:$Q1119,7,false),VLOOKUP($K724,$K725:$Q1119,7,false))))</f>
        <v/>
      </c>
      <c r="R724" s="49" t="str">
        <f t="shared" si="2"/>
        <v/>
      </c>
      <c r="S724" s="51" t="str">
        <f t="shared" si="3"/>
        <v/>
      </c>
      <c r="T724" s="52" t="str">
        <f t="shared" si="4"/>
        <v/>
      </c>
      <c r="U724" s="46" t="str">
        <f t="shared" si="5"/>
        <v/>
      </c>
      <c r="V724" s="53" t="str">
        <f>IFERROR(__xludf.DUMMYFUNCTION(" IF(Account!$F724&lt;&gt;"""", SPLIT(Account!$F724, "" ""), """")"),"")</f>
        <v/>
      </c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</row>
    <row r="725">
      <c r="A725" s="215"/>
      <c r="B725" s="215"/>
      <c r="C725" s="215"/>
      <c r="D725" s="215"/>
      <c r="E725" s="215"/>
      <c r="F725" s="373"/>
      <c r="G725" s="215"/>
      <c r="H725" s="215"/>
      <c r="I725" s="215"/>
      <c r="J725" s="215"/>
      <c r="K725" s="215"/>
      <c r="L725" s="45" t="str">
        <f t="shared" si="1"/>
        <v/>
      </c>
      <c r="M725" s="46" t="str">
        <f>IFERROR(__xludf.DUMMYFUNCTION("IF(Account!$F725&lt;&gt;"""", VALUE(REGEXREPLACE($I725, ""\,"", ""."")), """")"),"")</f>
        <v/>
      </c>
      <c r="N725" s="47" t="str">
        <f>IF(Account!$F725&lt;&gt;"", DATEVALUE(MID($A725,4,3) &amp; LEFT($A725,3) &amp; RIGHT($A725,4)) + TIMEVALUE($B725), "")</f>
        <v/>
      </c>
      <c r="O725" s="48" t="str">
        <f>IF(Account!$F725&lt;&gt;"", DATEVALUE(MID($A725,4,3) &amp; LEFT($A725,3) &amp; RIGHT($A725,4)), "")</f>
        <v/>
      </c>
      <c r="P725" s="49" t="str">
        <f>IFERROR(VLOOKUP($Q725,Selection!$F:$G,2,false))</f>
        <v/>
      </c>
      <c r="Q725" s="50" t="str">
        <f>IF(AND($X725="change",$H725="EUR"),IF(AND($Z725="Crédit",$N725=$N726),$Q726,IF(AND($Z725="Débit",$N725=$N724),$Q724)),IF(OR(AND(OR($E725&lt;&gt;"",$L725=""),$M725&lt;&gt;0),$A725=""),IFERROR(VLOOKUP($E725,Selection!$E:$F,2,false)),IFERROR(VLOOKUP(SUBSTITUTE($I725,"-","",1),$K726:$Q1119,7,false),VLOOKUP($K725,$K726:$Q1119,7,false))))</f>
        <v/>
      </c>
      <c r="R725" s="49" t="str">
        <f t="shared" si="2"/>
        <v/>
      </c>
      <c r="S725" s="51" t="str">
        <f t="shared" si="3"/>
        <v/>
      </c>
      <c r="T725" s="52" t="str">
        <f t="shared" si="4"/>
        <v/>
      </c>
      <c r="U725" s="46" t="str">
        <f t="shared" si="5"/>
        <v/>
      </c>
      <c r="V725" s="53" t="str">
        <f>IFERROR(__xludf.DUMMYFUNCTION(" IF(Account!$F725&lt;&gt;"""", SPLIT(Account!$F725, "" ""), """")"),"")</f>
        <v/>
      </c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</row>
    <row r="726">
      <c r="A726" s="215"/>
      <c r="B726" s="215"/>
      <c r="C726" s="215"/>
      <c r="D726" s="215"/>
      <c r="E726" s="215"/>
      <c r="F726" s="373"/>
      <c r="G726" s="215"/>
      <c r="H726" s="215"/>
      <c r="I726" s="215"/>
      <c r="J726" s="215"/>
      <c r="K726" s="215"/>
      <c r="L726" s="45" t="str">
        <f t="shared" si="1"/>
        <v/>
      </c>
      <c r="M726" s="46" t="str">
        <f>IFERROR(__xludf.DUMMYFUNCTION("IF(Account!$F726&lt;&gt;"""", VALUE(REGEXREPLACE($I726, ""\,"", ""."")), """")"),"")</f>
        <v/>
      </c>
      <c r="N726" s="47" t="str">
        <f>IF(Account!$F726&lt;&gt;"", DATEVALUE(MID($A726,4,3) &amp; LEFT($A726,3) &amp; RIGHT($A726,4)) + TIMEVALUE($B726), "")</f>
        <v/>
      </c>
      <c r="O726" s="48" t="str">
        <f>IF(Account!$F726&lt;&gt;"", DATEVALUE(MID($A726,4,3) &amp; LEFT($A726,3) &amp; RIGHT($A726,4)), "")</f>
        <v/>
      </c>
      <c r="P726" s="49" t="str">
        <f>IFERROR(VLOOKUP($Q726,Selection!$F:$G,2,false))</f>
        <v/>
      </c>
      <c r="Q726" s="50" t="str">
        <f>IF(AND($X726="change",$H726="EUR"),IF(AND($Z726="Crédit",$N726=$N727),$Q727,IF(AND($Z726="Débit",$N726=$N725),$Q725)),IF(OR(AND(OR($E726&lt;&gt;"",$L726=""),$M726&lt;&gt;0),$A726=""),IFERROR(VLOOKUP($E726,Selection!$E:$F,2,false)),IFERROR(VLOOKUP(SUBSTITUTE($I726,"-","",1),$K727:$Q1119,7,false),VLOOKUP($K726,$K727:$Q1119,7,false))))</f>
        <v/>
      </c>
      <c r="R726" s="49" t="str">
        <f t="shared" si="2"/>
        <v/>
      </c>
      <c r="S726" s="51" t="str">
        <f t="shared" si="3"/>
        <v/>
      </c>
      <c r="T726" s="52" t="str">
        <f t="shared" si="4"/>
        <v/>
      </c>
      <c r="U726" s="46" t="str">
        <f t="shared" si="5"/>
        <v/>
      </c>
      <c r="V726" s="53" t="str">
        <f>IFERROR(__xludf.DUMMYFUNCTION(" IF(Account!$F726&lt;&gt;"""", SPLIT(Account!$F726, "" ""), """")"),"")</f>
        <v/>
      </c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</row>
    <row r="727">
      <c r="A727" s="215"/>
      <c r="B727" s="215"/>
      <c r="C727" s="215"/>
      <c r="D727" s="215"/>
      <c r="E727" s="215"/>
      <c r="F727" s="373"/>
      <c r="G727" s="215"/>
      <c r="H727" s="215"/>
      <c r="I727" s="215"/>
      <c r="J727" s="215"/>
      <c r="K727" s="215"/>
      <c r="L727" s="45" t="str">
        <f t="shared" si="1"/>
        <v/>
      </c>
      <c r="M727" s="46" t="str">
        <f>IFERROR(__xludf.DUMMYFUNCTION("IF(Account!$F727&lt;&gt;"""", VALUE(REGEXREPLACE($I727, ""\,"", ""."")), """")"),"")</f>
        <v/>
      </c>
      <c r="N727" s="47" t="str">
        <f>IF(Account!$F727&lt;&gt;"", DATEVALUE(MID($A727,4,3) &amp; LEFT($A727,3) &amp; RIGHT($A727,4)) + TIMEVALUE($B727), "")</f>
        <v/>
      </c>
      <c r="O727" s="48" t="str">
        <f>IF(Account!$F727&lt;&gt;"", DATEVALUE(MID($A727,4,3) &amp; LEFT($A727,3) &amp; RIGHT($A727,4)), "")</f>
        <v/>
      </c>
      <c r="P727" s="49" t="str">
        <f>IFERROR(VLOOKUP($Q727,Selection!$F:$G,2,false))</f>
        <v/>
      </c>
      <c r="Q727" s="50" t="str">
        <f>IF(AND($X727="change",$H727="EUR"),IF(AND($Z727="Crédit",$N727=$N728),$Q728,IF(AND($Z727="Débit",$N727=$N726),$Q726)),IF(OR(AND(OR($E727&lt;&gt;"",$L727=""),$M727&lt;&gt;0),$A727=""),IFERROR(VLOOKUP($E727,Selection!$E:$F,2,false)),IFERROR(VLOOKUP(SUBSTITUTE($I727,"-","",1),$K728:$Q1119,7,false),VLOOKUP($K727,$K728:$Q1119,7,false))))</f>
        <v/>
      </c>
      <c r="R727" s="49" t="str">
        <f t="shared" si="2"/>
        <v/>
      </c>
      <c r="S727" s="51" t="str">
        <f t="shared" si="3"/>
        <v/>
      </c>
      <c r="T727" s="52" t="str">
        <f t="shared" si="4"/>
        <v/>
      </c>
      <c r="U727" s="46" t="str">
        <f t="shared" si="5"/>
        <v/>
      </c>
      <c r="V727" s="53" t="str">
        <f>IFERROR(__xludf.DUMMYFUNCTION(" IF(Account!$F727&lt;&gt;"""", SPLIT(Account!$F727, "" ""), """")"),"")</f>
        <v/>
      </c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</row>
    <row r="728">
      <c r="A728" s="215"/>
      <c r="B728" s="215"/>
      <c r="C728" s="215"/>
      <c r="D728" s="215"/>
      <c r="E728" s="215"/>
      <c r="F728" s="373"/>
      <c r="G728" s="215"/>
      <c r="H728" s="215"/>
      <c r="I728" s="215"/>
      <c r="J728" s="215"/>
      <c r="K728" s="215"/>
      <c r="L728" s="45" t="str">
        <f t="shared" si="1"/>
        <v/>
      </c>
      <c r="M728" s="46" t="str">
        <f>IFERROR(__xludf.DUMMYFUNCTION("IF(Account!$F728&lt;&gt;"""", VALUE(REGEXREPLACE($I728, ""\,"", ""."")), """")"),"")</f>
        <v/>
      </c>
      <c r="N728" s="47" t="str">
        <f>IF(Account!$F728&lt;&gt;"", DATEVALUE(MID($A728,4,3) &amp; LEFT($A728,3) &amp; RIGHT($A728,4)) + TIMEVALUE($B728), "")</f>
        <v/>
      </c>
      <c r="O728" s="48" t="str">
        <f>IF(Account!$F728&lt;&gt;"", DATEVALUE(MID($A728,4,3) &amp; LEFT($A728,3) &amp; RIGHT($A728,4)), "")</f>
        <v/>
      </c>
      <c r="P728" s="49" t="str">
        <f>IFERROR(VLOOKUP($Q728,Selection!$F:$G,2,false))</f>
        <v/>
      </c>
      <c r="Q728" s="50" t="str">
        <f>IF(AND($X728="change",$H728="EUR"),IF(AND($Z728="Crédit",$N728=$N729),$Q729,IF(AND($Z728="Débit",$N728=$N727),$Q727)),IF(OR(AND(OR($E728&lt;&gt;"",$L728=""),$M728&lt;&gt;0),$A728=""),IFERROR(VLOOKUP($E728,Selection!$E:$F,2,false)),IFERROR(VLOOKUP(SUBSTITUTE($I728,"-","",1),$K729:$Q1119,7,false),VLOOKUP($K728,$K729:$Q1119,7,false))))</f>
        <v/>
      </c>
      <c r="R728" s="49" t="str">
        <f t="shared" si="2"/>
        <v/>
      </c>
      <c r="S728" s="51" t="str">
        <f t="shared" si="3"/>
        <v/>
      </c>
      <c r="T728" s="52" t="str">
        <f t="shared" si="4"/>
        <v/>
      </c>
      <c r="U728" s="46" t="str">
        <f t="shared" si="5"/>
        <v/>
      </c>
      <c r="V728" s="53" t="str">
        <f>IFERROR(__xludf.DUMMYFUNCTION(" IF(Account!$F728&lt;&gt;"""", SPLIT(Account!$F728, "" ""), """")"),"")</f>
        <v/>
      </c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</row>
    <row r="729">
      <c r="A729" s="215"/>
      <c r="B729" s="215"/>
      <c r="C729" s="215"/>
      <c r="D729" s="215"/>
      <c r="E729" s="215"/>
      <c r="F729" s="373"/>
      <c r="G729" s="215"/>
      <c r="H729" s="215"/>
      <c r="I729" s="215"/>
      <c r="J729" s="215"/>
      <c r="K729" s="215"/>
      <c r="L729" s="45" t="str">
        <f t="shared" si="1"/>
        <v/>
      </c>
      <c r="M729" s="46" t="str">
        <f>IFERROR(__xludf.DUMMYFUNCTION("IF(Account!$F729&lt;&gt;"""", VALUE(REGEXREPLACE($I729, ""\,"", ""."")), """")"),"")</f>
        <v/>
      </c>
      <c r="N729" s="47" t="str">
        <f>IF(Account!$F729&lt;&gt;"", DATEVALUE(MID($A729,4,3) &amp; LEFT($A729,3) &amp; RIGHT($A729,4)) + TIMEVALUE($B729), "")</f>
        <v/>
      </c>
      <c r="O729" s="48" t="str">
        <f>IF(Account!$F729&lt;&gt;"", DATEVALUE(MID($A729,4,3) &amp; LEFT($A729,3) &amp; RIGHT($A729,4)), "")</f>
        <v/>
      </c>
      <c r="P729" s="49" t="str">
        <f>IFERROR(VLOOKUP($Q729,Selection!$F:$G,2,false))</f>
        <v/>
      </c>
      <c r="Q729" s="50" t="str">
        <f>IF(AND($X729="change",$H729="EUR"),IF(AND($Z729="Crédit",$N729=$N730),$Q730,IF(AND($Z729="Débit",$N729=$N728),$Q728)),IF(OR(AND(OR($E729&lt;&gt;"",$L729=""),$M729&lt;&gt;0),$A729=""),IFERROR(VLOOKUP($E729,Selection!$E:$F,2,false)),IFERROR(VLOOKUP(SUBSTITUTE($I729,"-","",1),$K730:$Q1119,7,false),VLOOKUP($K729,$K730:$Q1119,7,false))))</f>
        <v/>
      </c>
      <c r="R729" s="49" t="str">
        <f t="shared" si="2"/>
        <v/>
      </c>
      <c r="S729" s="51" t="str">
        <f t="shared" si="3"/>
        <v/>
      </c>
      <c r="T729" s="52" t="str">
        <f t="shared" si="4"/>
        <v/>
      </c>
      <c r="U729" s="46" t="str">
        <f t="shared" si="5"/>
        <v/>
      </c>
      <c r="V729" s="53" t="str">
        <f>IFERROR(__xludf.DUMMYFUNCTION(" IF(Account!$F729&lt;&gt;"""", SPLIT(Account!$F729, "" ""), """")"),"")</f>
        <v/>
      </c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</row>
    <row r="730">
      <c r="A730" s="215"/>
      <c r="B730" s="215"/>
      <c r="C730" s="215"/>
      <c r="D730" s="215"/>
      <c r="E730" s="215"/>
      <c r="F730" s="373"/>
      <c r="G730" s="215"/>
      <c r="H730" s="215"/>
      <c r="I730" s="215"/>
      <c r="J730" s="215"/>
      <c r="K730" s="215"/>
      <c r="L730" s="45" t="str">
        <f t="shared" si="1"/>
        <v/>
      </c>
      <c r="M730" s="46" t="str">
        <f>IFERROR(__xludf.DUMMYFUNCTION("IF(Account!$F730&lt;&gt;"""", VALUE(REGEXREPLACE($I730, ""\,"", ""."")), """")"),"")</f>
        <v/>
      </c>
      <c r="N730" s="47" t="str">
        <f>IF(Account!$F730&lt;&gt;"", DATEVALUE(MID($A730,4,3) &amp; LEFT($A730,3) &amp; RIGHT($A730,4)) + TIMEVALUE($B730), "")</f>
        <v/>
      </c>
      <c r="O730" s="48" t="str">
        <f>IF(Account!$F730&lt;&gt;"", DATEVALUE(MID($A730,4,3) &amp; LEFT($A730,3) &amp; RIGHT($A730,4)), "")</f>
        <v/>
      </c>
      <c r="P730" s="49" t="str">
        <f>IFERROR(VLOOKUP($Q730,Selection!$F:$G,2,false))</f>
        <v/>
      </c>
      <c r="Q730" s="50" t="str">
        <f>IF(AND($X730="change",$H730="EUR"),IF(AND($Z730="Crédit",$N730=$N731),$Q731,IF(AND($Z730="Débit",$N730=$N729),$Q729)),IF(OR(AND(OR($E730&lt;&gt;"",$L730=""),$M730&lt;&gt;0),$A730=""),IFERROR(VLOOKUP($E730,Selection!$E:$F,2,false)),IFERROR(VLOOKUP(SUBSTITUTE($I730,"-","",1),$K731:$Q1119,7,false),VLOOKUP($K730,$K731:$Q1119,7,false))))</f>
        <v/>
      </c>
      <c r="R730" s="49" t="str">
        <f t="shared" si="2"/>
        <v/>
      </c>
      <c r="S730" s="51" t="str">
        <f t="shared" si="3"/>
        <v/>
      </c>
      <c r="T730" s="52" t="str">
        <f t="shared" si="4"/>
        <v/>
      </c>
      <c r="U730" s="46" t="str">
        <f t="shared" si="5"/>
        <v/>
      </c>
      <c r="V730" s="53" t="str">
        <f>IFERROR(__xludf.DUMMYFUNCTION(" IF(Account!$F730&lt;&gt;"""", SPLIT(Account!$F730, "" ""), """")"),"")</f>
        <v/>
      </c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</row>
    <row r="731">
      <c r="A731" s="215"/>
      <c r="B731" s="215"/>
      <c r="C731" s="215"/>
      <c r="D731" s="215"/>
      <c r="E731" s="215"/>
      <c r="F731" s="373"/>
      <c r="G731" s="215"/>
      <c r="H731" s="215"/>
      <c r="I731" s="215"/>
      <c r="J731" s="215"/>
      <c r="K731" s="215"/>
      <c r="L731" s="45" t="str">
        <f t="shared" si="1"/>
        <v/>
      </c>
      <c r="M731" s="46" t="str">
        <f>IFERROR(__xludf.DUMMYFUNCTION("IF(Account!$F731&lt;&gt;"""", VALUE(REGEXREPLACE($I731, ""\,"", ""."")), """")"),"")</f>
        <v/>
      </c>
      <c r="N731" s="47" t="str">
        <f>IF(Account!$F731&lt;&gt;"", DATEVALUE(MID($A731,4,3) &amp; LEFT($A731,3) &amp; RIGHT($A731,4)) + TIMEVALUE($B731), "")</f>
        <v/>
      </c>
      <c r="O731" s="48" t="str">
        <f>IF(Account!$F731&lt;&gt;"", DATEVALUE(MID($A731,4,3) &amp; LEFT($A731,3) &amp; RIGHT($A731,4)), "")</f>
        <v/>
      </c>
      <c r="P731" s="49" t="str">
        <f>IFERROR(VLOOKUP($Q731,Selection!$F:$G,2,false))</f>
        <v/>
      </c>
      <c r="Q731" s="50" t="str">
        <f>IF(AND($X731="change",$H731="EUR"),IF(AND($Z731="Crédit",$N731=$N732),$Q732,IF(AND($Z731="Débit",$N731=$N730),$Q730)),IF(OR(AND(OR($E731&lt;&gt;"",$L731=""),$M731&lt;&gt;0),$A731=""),IFERROR(VLOOKUP($E731,Selection!$E:$F,2,false)),IFERROR(VLOOKUP(SUBSTITUTE($I731,"-","",1),$K732:$Q1119,7,false),VLOOKUP($K731,$K732:$Q1119,7,false))))</f>
        <v/>
      </c>
      <c r="R731" s="49" t="str">
        <f t="shared" si="2"/>
        <v/>
      </c>
      <c r="S731" s="51" t="str">
        <f t="shared" si="3"/>
        <v/>
      </c>
      <c r="T731" s="52" t="str">
        <f t="shared" si="4"/>
        <v/>
      </c>
      <c r="U731" s="46" t="str">
        <f t="shared" si="5"/>
        <v/>
      </c>
      <c r="V731" s="53" t="str">
        <f>IFERROR(__xludf.DUMMYFUNCTION(" IF(Account!$F731&lt;&gt;"""", SPLIT(Account!$F731, "" ""), """")"),"")</f>
        <v/>
      </c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</row>
    <row r="732">
      <c r="A732" s="215"/>
      <c r="B732" s="215"/>
      <c r="C732" s="215"/>
      <c r="D732" s="215"/>
      <c r="E732" s="215"/>
      <c r="F732" s="373"/>
      <c r="G732" s="215"/>
      <c r="H732" s="215"/>
      <c r="I732" s="215"/>
      <c r="J732" s="215"/>
      <c r="K732" s="215"/>
      <c r="L732" s="45" t="str">
        <f t="shared" si="1"/>
        <v/>
      </c>
      <c r="M732" s="46" t="str">
        <f>IFERROR(__xludf.DUMMYFUNCTION("IF(Account!$F732&lt;&gt;"""", VALUE(REGEXREPLACE($I732, ""\,"", ""."")), """")"),"")</f>
        <v/>
      </c>
      <c r="N732" s="47" t="str">
        <f>IF(Account!$F732&lt;&gt;"", DATEVALUE(MID($A732,4,3) &amp; LEFT($A732,3) &amp; RIGHT($A732,4)) + TIMEVALUE($B732), "")</f>
        <v/>
      </c>
      <c r="O732" s="48" t="str">
        <f>IF(Account!$F732&lt;&gt;"", DATEVALUE(MID($A732,4,3) &amp; LEFT($A732,3) &amp; RIGHT($A732,4)), "")</f>
        <v/>
      </c>
      <c r="P732" s="49" t="str">
        <f>IFERROR(VLOOKUP($Q732,Selection!$F:$G,2,false))</f>
        <v/>
      </c>
      <c r="Q732" s="50" t="str">
        <f>IF(AND($X732="change",$H732="EUR"),IF(AND($Z732="Crédit",$N732=$N733),$Q733,IF(AND($Z732="Débit",$N732=$N731),$Q731)),IF(OR(AND(OR($E732&lt;&gt;"",$L732=""),$M732&lt;&gt;0),$A732=""),IFERROR(VLOOKUP($E732,Selection!$E:$F,2,false)),IFERROR(VLOOKUP(SUBSTITUTE($I732,"-","",1),$K733:$Q1119,7,false),VLOOKUP($K732,$K733:$Q1119,7,false))))</f>
        <v/>
      </c>
      <c r="R732" s="49" t="str">
        <f t="shared" si="2"/>
        <v/>
      </c>
      <c r="S732" s="51" t="str">
        <f t="shared" si="3"/>
        <v/>
      </c>
      <c r="T732" s="52" t="str">
        <f t="shared" si="4"/>
        <v/>
      </c>
      <c r="U732" s="46" t="str">
        <f t="shared" si="5"/>
        <v/>
      </c>
      <c r="V732" s="53" t="str">
        <f>IFERROR(__xludf.DUMMYFUNCTION(" IF(Account!$F732&lt;&gt;"""", SPLIT(Account!$F732, "" ""), """")"),"")</f>
        <v/>
      </c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</row>
    <row r="733">
      <c r="A733" s="215"/>
      <c r="B733" s="215"/>
      <c r="C733" s="215"/>
      <c r="D733" s="215"/>
      <c r="E733" s="215"/>
      <c r="F733" s="373"/>
      <c r="G733" s="215"/>
      <c r="H733" s="215"/>
      <c r="I733" s="215"/>
      <c r="J733" s="215"/>
      <c r="K733" s="215"/>
      <c r="L733" s="45" t="str">
        <f t="shared" si="1"/>
        <v/>
      </c>
      <c r="M733" s="46" t="str">
        <f>IFERROR(__xludf.DUMMYFUNCTION("IF(Account!$F733&lt;&gt;"""", VALUE(REGEXREPLACE($I733, ""\,"", ""."")), """")"),"")</f>
        <v/>
      </c>
      <c r="N733" s="47" t="str">
        <f>IF(Account!$F733&lt;&gt;"", DATEVALUE(MID($A733,4,3) &amp; LEFT($A733,3) &amp; RIGHT($A733,4)) + TIMEVALUE($B733), "")</f>
        <v/>
      </c>
      <c r="O733" s="48" t="str">
        <f>IF(Account!$F733&lt;&gt;"", DATEVALUE(MID($A733,4,3) &amp; LEFT($A733,3) &amp; RIGHT($A733,4)), "")</f>
        <v/>
      </c>
      <c r="P733" s="49" t="str">
        <f>IFERROR(VLOOKUP($Q733,Selection!$F:$G,2,false))</f>
        <v/>
      </c>
      <c r="Q733" s="50" t="str">
        <f>IF(AND($X733="change",$H733="EUR"),IF(AND($Z733="Crédit",$N733=$N734),$Q734,IF(AND($Z733="Débit",$N733=$N732),$Q732)),IF(OR(AND(OR($E733&lt;&gt;"",$L733=""),$M733&lt;&gt;0),$A733=""),IFERROR(VLOOKUP($E733,Selection!$E:$F,2,false)),IFERROR(VLOOKUP(SUBSTITUTE($I733,"-","",1),$K734:$Q1119,7,false),VLOOKUP($K733,$K734:$Q1119,7,false))))</f>
        <v/>
      </c>
      <c r="R733" s="49" t="str">
        <f t="shared" si="2"/>
        <v/>
      </c>
      <c r="S733" s="51" t="str">
        <f t="shared" si="3"/>
        <v/>
      </c>
      <c r="T733" s="52" t="str">
        <f t="shared" si="4"/>
        <v/>
      </c>
      <c r="U733" s="46" t="str">
        <f t="shared" si="5"/>
        <v/>
      </c>
      <c r="V733" s="53" t="str">
        <f>IFERROR(__xludf.DUMMYFUNCTION(" IF(Account!$F733&lt;&gt;"""", SPLIT(Account!$F733, "" ""), """")"),"")</f>
        <v/>
      </c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</row>
    <row r="734">
      <c r="A734" s="215"/>
      <c r="B734" s="215"/>
      <c r="C734" s="215"/>
      <c r="D734" s="215"/>
      <c r="E734" s="215"/>
      <c r="F734" s="373"/>
      <c r="G734" s="215"/>
      <c r="H734" s="215"/>
      <c r="I734" s="215"/>
      <c r="J734" s="215"/>
      <c r="K734" s="215"/>
      <c r="L734" s="45" t="str">
        <f t="shared" si="1"/>
        <v/>
      </c>
      <c r="M734" s="46" t="str">
        <f>IFERROR(__xludf.DUMMYFUNCTION("IF(Account!$F734&lt;&gt;"""", VALUE(REGEXREPLACE($I734, ""\,"", ""."")), """")"),"")</f>
        <v/>
      </c>
      <c r="N734" s="47" t="str">
        <f>IF(Account!$F734&lt;&gt;"", DATEVALUE(MID($A734,4,3) &amp; LEFT($A734,3) &amp; RIGHT($A734,4)) + TIMEVALUE($B734), "")</f>
        <v/>
      </c>
      <c r="O734" s="48" t="str">
        <f>IF(Account!$F734&lt;&gt;"", DATEVALUE(MID($A734,4,3) &amp; LEFT($A734,3) &amp; RIGHT($A734,4)), "")</f>
        <v/>
      </c>
      <c r="P734" s="49" t="str">
        <f>IFERROR(VLOOKUP($Q734,Selection!$F:$G,2,false))</f>
        <v/>
      </c>
      <c r="Q734" s="50" t="str">
        <f>IF(AND($X734="change",$H734="EUR"),IF(AND($Z734="Crédit",$N734=$N735),$Q735,IF(AND($Z734="Débit",$N734=$N733),$Q733)),IF(OR(AND(OR($E734&lt;&gt;"",$L734=""),$M734&lt;&gt;0),$A734=""),IFERROR(VLOOKUP($E734,Selection!$E:$F,2,false)),IFERROR(VLOOKUP(SUBSTITUTE($I734,"-","",1),$K735:$Q1119,7,false),VLOOKUP($K734,$K735:$Q1119,7,false))))</f>
        <v/>
      </c>
      <c r="R734" s="49" t="str">
        <f t="shared" si="2"/>
        <v/>
      </c>
      <c r="S734" s="51" t="str">
        <f t="shared" si="3"/>
        <v/>
      </c>
      <c r="T734" s="52" t="str">
        <f t="shared" si="4"/>
        <v/>
      </c>
      <c r="U734" s="46" t="str">
        <f t="shared" si="5"/>
        <v/>
      </c>
      <c r="V734" s="53" t="str">
        <f>IFERROR(__xludf.DUMMYFUNCTION(" IF(Account!$F734&lt;&gt;"""", SPLIT(Account!$F734, "" ""), """")"),"")</f>
        <v/>
      </c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</row>
    <row r="735">
      <c r="A735" s="215"/>
      <c r="B735" s="215"/>
      <c r="C735" s="215"/>
      <c r="D735" s="215"/>
      <c r="E735" s="215"/>
      <c r="F735" s="373"/>
      <c r="G735" s="215"/>
      <c r="H735" s="215"/>
      <c r="I735" s="215"/>
      <c r="J735" s="215"/>
      <c r="K735" s="215"/>
      <c r="L735" s="45" t="str">
        <f t="shared" si="1"/>
        <v/>
      </c>
      <c r="M735" s="46" t="str">
        <f>IFERROR(__xludf.DUMMYFUNCTION("IF(Account!$F735&lt;&gt;"""", VALUE(REGEXREPLACE($I735, ""\,"", ""."")), """")"),"")</f>
        <v/>
      </c>
      <c r="N735" s="47" t="str">
        <f>IF(Account!$F735&lt;&gt;"", DATEVALUE(MID($A735,4,3) &amp; LEFT($A735,3) &amp; RIGHT($A735,4)) + TIMEVALUE($B735), "")</f>
        <v/>
      </c>
      <c r="O735" s="48" t="str">
        <f>IF(Account!$F735&lt;&gt;"", DATEVALUE(MID($A735,4,3) &amp; LEFT($A735,3) &amp; RIGHT($A735,4)), "")</f>
        <v/>
      </c>
      <c r="P735" s="49" t="str">
        <f>IFERROR(VLOOKUP($Q735,Selection!$F:$G,2,false))</f>
        <v/>
      </c>
      <c r="Q735" s="50" t="str">
        <f>IF(AND($X735="change",$H735="EUR"),IF(AND($Z735="Crédit",$N735=$N736),$Q736,IF(AND($Z735="Débit",$N735=$N734),$Q734)),IF(OR(AND(OR($E735&lt;&gt;"",$L735=""),$M735&lt;&gt;0),$A735=""),IFERROR(VLOOKUP($E735,Selection!$E:$F,2,false)),IFERROR(VLOOKUP(SUBSTITUTE($I735,"-","",1),$K736:$Q1119,7,false),VLOOKUP($K735,$K736:$Q1119,7,false))))</f>
        <v/>
      </c>
      <c r="R735" s="49" t="str">
        <f t="shared" si="2"/>
        <v/>
      </c>
      <c r="S735" s="51" t="str">
        <f t="shared" si="3"/>
        <v/>
      </c>
      <c r="T735" s="52" t="str">
        <f t="shared" si="4"/>
        <v/>
      </c>
      <c r="U735" s="46" t="str">
        <f t="shared" si="5"/>
        <v/>
      </c>
      <c r="V735" s="53" t="str">
        <f>IFERROR(__xludf.DUMMYFUNCTION(" IF(Account!$F735&lt;&gt;"""", SPLIT(Account!$F735, "" ""), """")"),"")</f>
        <v/>
      </c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</row>
    <row r="736">
      <c r="A736" s="215"/>
      <c r="B736" s="215"/>
      <c r="C736" s="215"/>
      <c r="D736" s="215"/>
      <c r="E736" s="215"/>
      <c r="F736" s="373"/>
      <c r="G736" s="215"/>
      <c r="H736" s="215"/>
      <c r="I736" s="215"/>
      <c r="J736" s="215"/>
      <c r="K736" s="215"/>
      <c r="L736" s="45" t="str">
        <f t="shared" si="1"/>
        <v/>
      </c>
      <c r="M736" s="46" t="str">
        <f>IFERROR(__xludf.DUMMYFUNCTION("IF(Account!$F736&lt;&gt;"""", VALUE(REGEXREPLACE($I736, ""\,"", ""."")), """")"),"")</f>
        <v/>
      </c>
      <c r="N736" s="47" t="str">
        <f>IF(Account!$F736&lt;&gt;"", DATEVALUE(MID($A736,4,3) &amp; LEFT($A736,3) &amp; RIGHT($A736,4)) + TIMEVALUE($B736), "")</f>
        <v/>
      </c>
      <c r="O736" s="48" t="str">
        <f>IF(Account!$F736&lt;&gt;"", DATEVALUE(MID($A736,4,3) &amp; LEFT($A736,3) &amp; RIGHT($A736,4)), "")</f>
        <v/>
      </c>
      <c r="P736" s="49" t="str">
        <f>IFERROR(VLOOKUP($Q736,Selection!$F:$G,2,false))</f>
        <v/>
      </c>
      <c r="Q736" s="50" t="str">
        <f>IF(AND($X736="change",$H736="EUR"),IF(AND($Z736="Crédit",$N736=$N737),$Q737,IF(AND($Z736="Débit",$N736=$N735),$Q735)),IF(OR(AND(OR($E736&lt;&gt;"",$L736=""),$M736&lt;&gt;0),$A736=""),IFERROR(VLOOKUP($E736,Selection!$E:$F,2,false)),IFERROR(VLOOKUP(SUBSTITUTE($I736,"-","",1),$K737:$Q1119,7,false),VLOOKUP($K736,$K737:$Q1119,7,false))))</f>
        <v/>
      </c>
      <c r="R736" s="49" t="str">
        <f t="shared" si="2"/>
        <v/>
      </c>
      <c r="S736" s="51" t="str">
        <f t="shared" si="3"/>
        <v/>
      </c>
      <c r="T736" s="52" t="str">
        <f t="shared" si="4"/>
        <v/>
      </c>
      <c r="U736" s="46" t="str">
        <f t="shared" si="5"/>
        <v/>
      </c>
      <c r="V736" s="53" t="str">
        <f>IFERROR(__xludf.DUMMYFUNCTION(" IF(Account!$F736&lt;&gt;"""", SPLIT(Account!$F736, "" ""), """")"),"")</f>
        <v/>
      </c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</row>
    <row r="737">
      <c r="A737" s="215"/>
      <c r="B737" s="215"/>
      <c r="C737" s="215"/>
      <c r="D737" s="215"/>
      <c r="E737" s="215"/>
      <c r="F737" s="373"/>
      <c r="G737" s="215"/>
      <c r="H737" s="215"/>
      <c r="I737" s="215"/>
      <c r="J737" s="215"/>
      <c r="K737" s="215"/>
      <c r="L737" s="45" t="str">
        <f t="shared" si="1"/>
        <v/>
      </c>
      <c r="M737" s="46" t="str">
        <f>IFERROR(__xludf.DUMMYFUNCTION("IF(Account!$F737&lt;&gt;"""", VALUE(REGEXREPLACE($I737, ""\,"", ""."")), """")"),"")</f>
        <v/>
      </c>
      <c r="N737" s="47" t="str">
        <f>IF(Account!$F737&lt;&gt;"", DATEVALUE(MID($A737,4,3) &amp; LEFT($A737,3) &amp; RIGHT($A737,4)) + TIMEVALUE($B737), "")</f>
        <v/>
      </c>
      <c r="O737" s="48" t="str">
        <f>IF(Account!$F737&lt;&gt;"", DATEVALUE(MID($A737,4,3) &amp; LEFT($A737,3) &amp; RIGHT($A737,4)), "")</f>
        <v/>
      </c>
      <c r="P737" s="49" t="str">
        <f>IFERROR(VLOOKUP($Q737,Selection!$F:$G,2,false))</f>
        <v/>
      </c>
      <c r="Q737" s="50" t="str">
        <f>IF(AND($X737="change",$H737="EUR"),IF(AND($Z737="Crédit",$N737=$N738),$Q738,IF(AND($Z737="Débit",$N737=$N736),$Q736)),IF(OR(AND(OR($E737&lt;&gt;"",$L737=""),$M737&lt;&gt;0),$A737=""),IFERROR(VLOOKUP($E737,Selection!$E:$F,2,false)),IFERROR(VLOOKUP(SUBSTITUTE($I737,"-","",1),$K738:$Q1119,7,false),VLOOKUP($K737,$K738:$Q1119,7,false))))</f>
        <v/>
      </c>
      <c r="R737" s="49" t="str">
        <f t="shared" si="2"/>
        <v/>
      </c>
      <c r="S737" s="51" t="str">
        <f t="shared" si="3"/>
        <v/>
      </c>
      <c r="T737" s="52" t="str">
        <f t="shared" si="4"/>
        <v/>
      </c>
      <c r="U737" s="46" t="str">
        <f t="shared" si="5"/>
        <v/>
      </c>
      <c r="V737" s="53" t="str">
        <f>IFERROR(__xludf.DUMMYFUNCTION(" IF(Account!$F737&lt;&gt;"""", SPLIT(Account!$F737, "" ""), """")"),"")</f>
        <v/>
      </c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</row>
    <row r="738">
      <c r="A738" s="215"/>
      <c r="B738" s="215"/>
      <c r="C738" s="215"/>
      <c r="D738" s="215"/>
      <c r="E738" s="215"/>
      <c r="F738" s="373"/>
      <c r="G738" s="215"/>
      <c r="H738" s="215"/>
      <c r="I738" s="215"/>
      <c r="J738" s="215"/>
      <c r="K738" s="215"/>
      <c r="L738" s="45" t="str">
        <f t="shared" si="1"/>
        <v/>
      </c>
      <c r="M738" s="46" t="str">
        <f>IFERROR(__xludf.DUMMYFUNCTION("IF(Account!$F738&lt;&gt;"""", VALUE(REGEXREPLACE($I738, ""\,"", ""."")), """")"),"")</f>
        <v/>
      </c>
      <c r="N738" s="47" t="str">
        <f>IF(Account!$F738&lt;&gt;"", DATEVALUE(MID($A738,4,3) &amp; LEFT($A738,3) &amp; RIGHT($A738,4)) + TIMEVALUE($B738), "")</f>
        <v/>
      </c>
      <c r="O738" s="48" t="str">
        <f>IF(Account!$F738&lt;&gt;"", DATEVALUE(MID($A738,4,3) &amp; LEFT($A738,3) &amp; RIGHT($A738,4)), "")</f>
        <v/>
      </c>
      <c r="P738" s="49" t="str">
        <f>IFERROR(VLOOKUP($Q738,Selection!$F:$G,2,false))</f>
        <v/>
      </c>
      <c r="Q738" s="50" t="str">
        <f>IF(AND($X738="change",$H738="EUR"),IF(AND($Z738="Crédit",$N738=$N739),$Q739,IF(AND($Z738="Débit",$N738=$N737),$Q737)),IF(OR(AND(OR($E738&lt;&gt;"",$L738=""),$M738&lt;&gt;0),$A738=""),IFERROR(VLOOKUP($E738,Selection!$E:$F,2,false)),IFERROR(VLOOKUP(SUBSTITUTE($I738,"-","",1),$K739:$Q1119,7,false),VLOOKUP($K738,$K739:$Q1119,7,false))))</f>
        <v/>
      </c>
      <c r="R738" s="49" t="str">
        <f t="shared" si="2"/>
        <v/>
      </c>
      <c r="S738" s="51" t="str">
        <f t="shared" si="3"/>
        <v/>
      </c>
      <c r="T738" s="52" t="str">
        <f t="shared" si="4"/>
        <v/>
      </c>
      <c r="U738" s="46" t="str">
        <f t="shared" si="5"/>
        <v/>
      </c>
      <c r="V738" s="53" t="str">
        <f>IFERROR(__xludf.DUMMYFUNCTION(" IF(Account!$F738&lt;&gt;"""", SPLIT(Account!$F738, "" ""), """")"),"")</f>
        <v/>
      </c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</row>
    <row r="739">
      <c r="A739" s="215"/>
      <c r="B739" s="215"/>
      <c r="C739" s="215"/>
      <c r="D739" s="215"/>
      <c r="E739" s="215"/>
      <c r="F739" s="373"/>
      <c r="G739" s="215"/>
      <c r="H739" s="215"/>
      <c r="I739" s="215"/>
      <c r="J739" s="215"/>
      <c r="K739" s="215"/>
      <c r="L739" s="45" t="str">
        <f t="shared" si="1"/>
        <v/>
      </c>
      <c r="M739" s="46" t="str">
        <f>IFERROR(__xludf.DUMMYFUNCTION("IF(Account!$F739&lt;&gt;"""", VALUE(REGEXREPLACE($I739, ""\,"", ""."")), """")"),"")</f>
        <v/>
      </c>
      <c r="N739" s="47" t="str">
        <f>IF(Account!$F739&lt;&gt;"", DATEVALUE(MID($A739,4,3) &amp; LEFT($A739,3) &amp; RIGHT($A739,4)) + TIMEVALUE($B739), "")</f>
        <v/>
      </c>
      <c r="O739" s="48" t="str">
        <f>IF(Account!$F739&lt;&gt;"", DATEVALUE(MID($A739,4,3) &amp; LEFT($A739,3) &amp; RIGHT($A739,4)), "")</f>
        <v/>
      </c>
      <c r="P739" s="49" t="str">
        <f>IFERROR(VLOOKUP($Q739,Selection!$F:$G,2,false))</f>
        <v/>
      </c>
      <c r="Q739" s="50" t="str">
        <f>IF(AND($X739="change",$H739="EUR"),IF(AND($Z739="Crédit",$N739=$N740),$Q740,IF(AND($Z739="Débit",$N739=$N738),$Q738)),IF(OR(AND(OR($E739&lt;&gt;"",$L739=""),$M739&lt;&gt;0),$A739=""),IFERROR(VLOOKUP($E739,Selection!$E:$F,2,false)),IFERROR(VLOOKUP(SUBSTITUTE($I739,"-","",1),$K740:$Q1119,7,false),VLOOKUP($K739,$K740:$Q1119,7,false))))</f>
        <v/>
      </c>
      <c r="R739" s="49" t="str">
        <f t="shared" si="2"/>
        <v/>
      </c>
      <c r="S739" s="51" t="str">
        <f t="shared" si="3"/>
        <v/>
      </c>
      <c r="T739" s="52" t="str">
        <f t="shared" si="4"/>
        <v/>
      </c>
      <c r="U739" s="46" t="str">
        <f t="shared" si="5"/>
        <v/>
      </c>
      <c r="V739" s="53" t="str">
        <f>IFERROR(__xludf.DUMMYFUNCTION(" IF(Account!$F739&lt;&gt;"""", SPLIT(Account!$F739, "" ""), """")"),"")</f>
        <v/>
      </c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</row>
    <row r="740">
      <c r="A740" s="215"/>
      <c r="B740" s="215"/>
      <c r="C740" s="215"/>
      <c r="D740" s="215"/>
      <c r="E740" s="215"/>
      <c r="F740" s="373"/>
      <c r="G740" s="215"/>
      <c r="H740" s="215"/>
      <c r="I740" s="215"/>
      <c r="J740" s="215"/>
      <c r="K740" s="215"/>
      <c r="L740" s="45" t="str">
        <f t="shared" si="1"/>
        <v/>
      </c>
      <c r="M740" s="46" t="str">
        <f>IFERROR(__xludf.DUMMYFUNCTION("IF(Account!$F740&lt;&gt;"""", VALUE(REGEXREPLACE($I740, ""\,"", ""."")), """")"),"")</f>
        <v/>
      </c>
      <c r="N740" s="47" t="str">
        <f>IF(Account!$F740&lt;&gt;"", DATEVALUE(MID($A740,4,3) &amp; LEFT($A740,3) &amp; RIGHT($A740,4)) + TIMEVALUE($B740), "")</f>
        <v/>
      </c>
      <c r="O740" s="48" t="str">
        <f>IF(Account!$F740&lt;&gt;"", DATEVALUE(MID($A740,4,3) &amp; LEFT($A740,3) &amp; RIGHT($A740,4)), "")</f>
        <v/>
      </c>
      <c r="P740" s="49" t="str">
        <f>IFERROR(VLOOKUP($Q740,Selection!$F:$G,2,false))</f>
        <v/>
      </c>
      <c r="Q740" s="50" t="str">
        <f>IF(AND($X740="change",$H740="EUR"),IF(AND($Z740="Crédit",$N740=$N741),$Q741,IF(AND($Z740="Débit",$N740=$N739),$Q739)),IF(OR(AND(OR($E740&lt;&gt;"",$L740=""),$M740&lt;&gt;0),$A740=""),IFERROR(VLOOKUP($E740,Selection!$E:$F,2,false)),IFERROR(VLOOKUP(SUBSTITUTE($I740,"-","",1),$K741:$Q1119,7,false),VLOOKUP($K740,$K741:$Q1119,7,false))))</f>
        <v/>
      </c>
      <c r="R740" s="49" t="str">
        <f t="shared" si="2"/>
        <v/>
      </c>
      <c r="S740" s="51" t="str">
        <f t="shared" si="3"/>
        <v/>
      </c>
      <c r="T740" s="52" t="str">
        <f t="shared" si="4"/>
        <v/>
      </c>
      <c r="U740" s="46" t="str">
        <f t="shared" si="5"/>
        <v/>
      </c>
      <c r="V740" s="53" t="str">
        <f>IFERROR(__xludf.DUMMYFUNCTION(" IF(Account!$F740&lt;&gt;"""", SPLIT(Account!$F740, "" ""), """")"),"")</f>
        <v/>
      </c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</row>
    <row r="741">
      <c r="A741" s="215"/>
      <c r="B741" s="215"/>
      <c r="C741" s="215"/>
      <c r="D741" s="215"/>
      <c r="E741" s="215"/>
      <c r="F741" s="373"/>
      <c r="G741" s="215"/>
      <c r="H741" s="215"/>
      <c r="I741" s="215"/>
      <c r="J741" s="215"/>
      <c r="K741" s="215"/>
      <c r="L741" s="45" t="str">
        <f t="shared" si="1"/>
        <v/>
      </c>
      <c r="M741" s="46" t="str">
        <f>IFERROR(__xludf.DUMMYFUNCTION("IF(Account!$F741&lt;&gt;"""", VALUE(REGEXREPLACE($I741, ""\,"", ""."")), """")"),"")</f>
        <v/>
      </c>
      <c r="N741" s="47" t="str">
        <f>IF(Account!$F741&lt;&gt;"", DATEVALUE(MID($A741,4,3) &amp; LEFT($A741,3) &amp; RIGHT($A741,4)) + TIMEVALUE($B741), "")</f>
        <v/>
      </c>
      <c r="O741" s="48" t="str">
        <f>IF(Account!$F741&lt;&gt;"", DATEVALUE(MID($A741,4,3) &amp; LEFT($A741,3) &amp; RIGHT($A741,4)), "")</f>
        <v/>
      </c>
      <c r="P741" s="49" t="str">
        <f>IFERROR(VLOOKUP($Q741,Selection!$F:$G,2,false))</f>
        <v/>
      </c>
      <c r="Q741" s="50" t="str">
        <f>IF(AND($X741="change",$H741="EUR"),IF(AND($Z741="Crédit",$N741=$N742),$Q742,IF(AND($Z741="Débit",$N741=$N740),$Q740)),IF(OR(AND(OR($E741&lt;&gt;"",$L741=""),$M741&lt;&gt;0),$A741=""),IFERROR(VLOOKUP($E741,Selection!$E:$F,2,false)),IFERROR(VLOOKUP(SUBSTITUTE($I741,"-","",1),$K742:$Q1119,7,false),VLOOKUP($K741,$K742:$Q1119,7,false))))</f>
        <v/>
      </c>
      <c r="R741" s="49" t="str">
        <f t="shared" si="2"/>
        <v/>
      </c>
      <c r="S741" s="51" t="str">
        <f t="shared" si="3"/>
        <v/>
      </c>
      <c r="T741" s="52" t="str">
        <f t="shared" si="4"/>
        <v/>
      </c>
      <c r="U741" s="46" t="str">
        <f t="shared" si="5"/>
        <v/>
      </c>
      <c r="V741" s="53" t="str">
        <f>IFERROR(__xludf.DUMMYFUNCTION(" IF(Account!$F741&lt;&gt;"""", SPLIT(Account!$F741, "" ""), """")"),"")</f>
        <v/>
      </c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</row>
    <row r="742">
      <c r="A742" s="215"/>
      <c r="B742" s="215"/>
      <c r="C742" s="215"/>
      <c r="D742" s="215"/>
      <c r="E742" s="215"/>
      <c r="F742" s="373"/>
      <c r="G742" s="215"/>
      <c r="H742" s="215"/>
      <c r="I742" s="215"/>
      <c r="J742" s="215"/>
      <c r="K742" s="215"/>
      <c r="L742" s="45" t="str">
        <f t="shared" si="1"/>
        <v/>
      </c>
      <c r="M742" s="46" t="str">
        <f>IFERROR(__xludf.DUMMYFUNCTION("IF(Account!$F742&lt;&gt;"""", VALUE(REGEXREPLACE($I742, ""\,"", ""."")), """")"),"")</f>
        <v/>
      </c>
      <c r="N742" s="47" t="str">
        <f>IF(Account!$F742&lt;&gt;"", DATEVALUE(MID($A742,4,3) &amp; LEFT($A742,3) &amp; RIGHT($A742,4)) + TIMEVALUE($B742), "")</f>
        <v/>
      </c>
      <c r="O742" s="48" t="str">
        <f>IF(Account!$F742&lt;&gt;"", DATEVALUE(MID($A742,4,3) &amp; LEFT($A742,3) &amp; RIGHT($A742,4)), "")</f>
        <v/>
      </c>
      <c r="P742" s="49" t="str">
        <f>IFERROR(VLOOKUP($Q742,Selection!$F:$G,2,false))</f>
        <v/>
      </c>
      <c r="Q742" s="50" t="str">
        <f>IF(AND($X742="change",$H742="EUR"),IF(AND($Z742="Crédit",$N742=$N743),$Q743,IF(AND($Z742="Débit",$N742=$N741),$Q741)),IF(OR(AND(OR($E742&lt;&gt;"",$L742=""),$M742&lt;&gt;0),$A742=""),IFERROR(VLOOKUP($E742,Selection!$E:$F,2,false)),IFERROR(VLOOKUP(SUBSTITUTE($I742,"-","",1),$K743:$Q1119,7,false),VLOOKUP($K742,$K743:$Q1119,7,false))))</f>
        <v/>
      </c>
      <c r="R742" s="49" t="str">
        <f t="shared" si="2"/>
        <v/>
      </c>
      <c r="S742" s="51" t="str">
        <f t="shared" si="3"/>
        <v/>
      </c>
      <c r="T742" s="52" t="str">
        <f t="shared" si="4"/>
        <v/>
      </c>
      <c r="U742" s="46" t="str">
        <f t="shared" si="5"/>
        <v/>
      </c>
      <c r="V742" s="53" t="str">
        <f>IFERROR(__xludf.DUMMYFUNCTION(" IF(Account!$F742&lt;&gt;"""", SPLIT(Account!$F742, "" ""), """")"),"")</f>
        <v/>
      </c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</row>
    <row r="743">
      <c r="A743" s="215"/>
      <c r="B743" s="215"/>
      <c r="C743" s="215"/>
      <c r="D743" s="215"/>
      <c r="E743" s="215"/>
      <c r="F743" s="373"/>
      <c r="G743" s="215"/>
      <c r="H743" s="215"/>
      <c r="I743" s="215"/>
      <c r="J743" s="215"/>
      <c r="K743" s="215"/>
      <c r="L743" s="45" t="str">
        <f t="shared" si="1"/>
        <v/>
      </c>
      <c r="M743" s="46" t="str">
        <f>IFERROR(__xludf.DUMMYFUNCTION("IF(Account!$F743&lt;&gt;"""", VALUE(REGEXREPLACE($I743, ""\,"", ""."")), """")"),"")</f>
        <v/>
      </c>
      <c r="N743" s="47" t="str">
        <f>IF(Account!$F743&lt;&gt;"", DATEVALUE(MID($A743,4,3) &amp; LEFT($A743,3) &amp; RIGHT($A743,4)) + TIMEVALUE($B743), "")</f>
        <v/>
      </c>
      <c r="O743" s="48" t="str">
        <f>IF(Account!$F743&lt;&gt;"", DATEVALUE(MID($A743,4,3) &amp; LEFT($A743,3) &amp; RIGHT($A743,4)), "")</f>
        <v/>
      </c>
      <c r="P743" s="49" t="str">
        <f>IFERROR(VLOOKUP($Q743,Selection!$F:$G,2,false))</f>
        <v/>
      </c>
      <c r="Q743" s="50" t="str">
        <f>IF(AND($X743="change",$H743="EUR"),IF(AND($Z743="Crédit",$N743=$N744),$Q744,IF(AND($Z743="Débit",$N743=$N742),$Q742)),IF(OR(AND(OR($E743&lt;&gt;"",$L743=""),$M743&lt;&gt;0),$A743=""),IFERROR(VLOOKUP($E743,Selection!$E:$F,2,false)),IFERROR(VLOOKUP(SUBSTITUTE($I743,"-","",1),$K744:$Q1119,7,false),VLOOKUP($K743,$K744:$Q1119,7,false))))</f>
        <v/>
      </c>
      <c r="R743" s="49" t="str">
        <f t="shared" si="2"/>
        <v/>
      </c>
      <c r="S743" s="51" t="str">
        <f t="shared" si="3"/>
        <v/>
      </c>
      <c r="T743" s="52" t="str">
        <f t="shared" si="4"/>
        <v/>
      </c>
      <c r="U743" s="46" t="str">
        <f t="shared" si="5"/>
        <v/>
      </c>
      <c r="V743" s="53" t="str">
        <f>IFERROR(__xludf.DUMMYFUNCTION(" IF(Account!$F743&lt;&gt;"""", SPLIT(Account!$F743, "" ""), """")"),"")</f>
        <v/>
      </c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</row>
    <row r="744">
      <c r="A744" s="215"/>
      <c r="B744" s="215"/>
      <c r="C744" s="215"/>
      <c r="D744" s="215"/>
      <c r="E744" s="215"/>
      <c r="F744" s="373"/>
      <c r="G744" s="215"/>
      <c r="H744" s="215"/>
      <c r="I744" s="215"/>
      <c r="J744" s="215"/>
      <c r="K744" s="215"/>
      <c r="L744" s="45" t="str">
        <f t="shared" si="1"/>
        <v/>
      </c>
      <c r="M744" s="46" t="str">
        <f>IFERROR(__xludf.DUMMYFUNCTION("IF(Account!$F744&lt;&gt;"""", VALUE(REGEXREPLACE($I744, ""\,"", ""."")), """")"),"")</f>
        <v/>
      </c>
      <c r="N744" s="47" t="str">
        <f>IF(Account!$F744&lt;&gt;"", DATEVALUE(MID($A744,4,3) &amp; LEFT($A744,3) &amp; RIGHT($A744,4)) + TIMEVALUE($B744), "")</f>
        <v/>
      </c>
      <c r="O744" s="48" t="str">
        <f>IF(Account!$F744&lt;&gt;"", DATEVALUE(MID($A744,4,3) &amp; LEFT($A744,3) &amp; RIGHT($A744,4)), "")</f>
        <v/>
      </c>
      <c r="P744" s="49" t="str">
        <f>IFERROR(VLOOKUP($Q744,Selection!$F:$G,2,false))</f>
        <v/>
      </c>
      <c r="Q744" s="50" t="str">
        <f>IF(AND($X744="change",$H744="EUR"),IF(AND($Z744="Crédit",$N744=$N745),$Q745,IF(AND($Z744="Débit",$N744=$N743),$Q743)),IF(OR(AND(OR($E744&lt;&gt;"",$L744=""),$M744&lt;&gt;0),$A744=""),IFERROR(VLOOKUP($E744,Selection!$E:$F,2,false)),IFERROR(VLOOKUP(SUBSTITUTE($I744,"-","",1),$K745:$Q1119,7,false),VLOOKUP($K744,$K745:$Q1119,7,false))))</f>
        <v/>
      </c>
      <c r="R744" s="49" t="str">
        <f t="shared" si="2"/>
        <v/>
      </c>
      <c r="S744" s="51" t="str">
        <f t="shared" si="3"/>
        <v/>
      </c>
      <c r="T744" s="52" t="str">
        <f t="shared" si="4"/>
        <v/>
      </c>
      <c r="U744" s="46" t="str">
        <f t="shared" si="5"/>
        <v/>
      </c>
      <c r="V744" s="53" t="str">
        <f>IFERROR(__xludf.DUMMYFUNCTION(" IF(Account!$F744&lt;&gt;"""", SPLIT(Account!$F744, "" ""), """")"),"")</f>
        <v/>
      </c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</row>
    <row r="745">
      <c r="A745" s="215"/>
      <c r="B745" s="215"/>
      <c r="C745" s="215"/>
      <c r="D745" s="215"/>
      <c r="E745" s="215"/>
      <c r="F745" s="373"/>
      <c r="G745" s="215"/>
      <c r="H745" s="215"/>
      <c r="I745" s="215"/>
      <c r="J745" s="215"/>
      <c r="K745" s="215"/>
      <c r="L745" s="45" t="str">
        <f t="shared" si="1"/>
        <v/>
      </c>
      <c r="M745" s="46" t="str">
        <f>IFERROR(__xludf.DUMMYFUNCTION("IF(Account!$F745&lt;&gt;"""", VALUE(REGEXREPLACE($I745, ""\,"", ""."")), """")"),"")</f>
        <v/>
      </c>
      <c r="N745" s="47" t="str">
        <f>IF(Account!$F745&lt;&gt;"", DATEVALUE(MID($A745,4,3) &amp; LEFT($A745,3) &amp; RIGHT($A745,4)) + TIMEVALUE($B745), "")</f>
        <v/>
      </c>
      <c r="O745" s="48" t="str">
        <f>IF(Account!$F745&lt;&gt;"", DATEVALUE(MID($A745,4,3) &amp; LEFT($A745,3) &amp; RIGHT($A745,4)), "")</f>
        <v/>
      </c>
      <c r="P745" s="49" t="str">
        <f>IFERROR(VLOOKUP($Q745,Selection!$F:$G,2,false))</f>
        <v/>
      </c>
      <c r="Q745" s="50" t="str">
        <f>IF(AND($X745="change",$H745="EUR"),IF(AND($Z745="Crédit",$N745=$N746),$Q746,IF(AND($Z745="Débit",$N745=$N744),$Q744)),IF(OR(AND(OR($E745&lt;&gt;"",$L745=""),$M745&lt;&gt;0),$A745=""),IFERROR(VLOOKUP($E745,Selection!$E:$F,2,false)),IFERROR(VLOOKUP(SUBSTITUTE($I745,"-","",1),$K746:$Q1119,7,false),VLOOKUP($K745,$K746:$Q1119,7,false))))</f>
        <v/>
      </c>
      <c r="R745" s="49" t="str">
        <f t="shared" si="2"/>
        <v/>
      </c>
      <c r="S745" s="51" t="str">
        <f t="shared" si="3"/>
        <v/>
      </c>
      <c r="T745" s="52" t="str">
        <f t="shared" si="4"/>
        <v/>
      </c>
      <c r="U745" s="46" t="str">
        <f t="shared" si="5"/>
        <v/>
      </c>
      <c r="V745" s="53" t="str">
        <f>IFERROR(__xludf.DUMMYFUNCTION(" IF(Account!$F745&lt;&gt;"""", SPLIT(Account!$F745, "" ""), """")"),"")</f>
        <v/>
      </c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</row>
    <row r="746">
      <c r="A746" s="215"/>
      <c r="B746" s="215"/>
      <c r="C746" s="215"/>
      <c r="D746" s="215"/>
      <c r="E746" s="215"/>
      <c r="F746" s="373"/>
      <c r="G746" s="215"/>
      <c r="H746" s="215"/>
      <c r="I746" s="215"/>
      <c r="J746" s="215"/>
      <c r="K746" s="215"/>
      <c r="L746" s="45" t="str">
        <f t="shared" si="1"/>
        <v/>
      </c>
      <c r="M746" s="46" t="str">
        <f>IFERROR(__xludf.DUMMYFUNCTION("IF(Account!$F746&lt;&gt;"""", VALUE(REGEXREPLACE($I746, ""\,"", ""."")), """")"),"")</f>
        <v/>
      </c>
      <c r="N746" s="47" t="str">
        <f>IF(Account!$F746&lt;&gt;"", DATEVALUE(MID($A746,4,3) &amp; LEFT($A746,3) &amp; RIGHT($A746,4)) + TIMEVALUE($B746), "")</f>
        <v/>
      </c>
      <c r="O746" s="48" t="str">
        <f>IF(Account!$F746&lt;&gt;"", DATEVALUE(MID($A746,4,3) &amp; LEFT($A746,3) &amp; RIGHT($A746,4)), "")</f>
        <v/>
      </c>
      <c r="P746" s="49" t="str">
        <f>IFERROR(VLOOKUP($Q746,Selection!$F:$G,2,false))</f>
        <v/>
      </c>
      <c r="Q746" s="50" t="str">
        <f>IF(AND($X746="change",$H746="EUR"),IF(AND($Z746="Crédit",$N746=$N747),$Q747,IF(AND($Z746="Débit",$N746=$N745),$Q745)),IF(OR(AND(OR($E746&lt;&gt;"",$L746=""),$M746&lt;&gt;0),$A746=""),IFERROR(VLOOKUP($E746,Selection!$E:$F,2,false)),IFERROR(VLOOKUP(SUBSTITUTE($I746,"-","",1),$K747:$Q1119,7,false),VLOOKUP($K746,$K747:$Q1119,7,false))))</f>
        <v/>
      </c>
      <c r="R746" s="49" t="str">
        <f t="shared" si="2"/>
        <v/>
      </c>
      <c r="S746" s="51" t="str">
        <f t="shared" si="3"/>
        <v/>
      </c>
      <c r="T746" s="52" t="str">
        <f t="shared" si="4"/>
        <v/>
      </c>
      <c r="U746" s="46" t="str">
        <f t="shared" si="5"/>
        <v/>
      </c>
      <c r="V746" s="53" t="str">
        <f>IFERROR(__xludf.DUMMYFUNCTION(" IF(Account!$F746&lt;&gt;"""", SPLIT(Account!$F746, "" ""), """")"),"")</f>
        <v/>
      </c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</row>
    <row r="747">
      <c r="A747" s="215"/>
      <c r="B747" s="215"/>
      <c r="C747" s="215"/>
      <c r="D747" s="215"/>
      <c r="E747" s="215"/>
      <c r="F747" s="373"/>
      <c r="G747" s="215"/>
      <c r="H747" s="215"/>
      <c r="I747" s="215"/>
      <c r="J747" s="215"/>
      <c r="K747" s="215"/>
      <c r="L747" s="45" t="str">
        <f t="shared" si="1"/>
        <v/>
      </c>
      <c r="M747" s="46" t="str">
        <f>IFERROR(__xludf.DUMMYFUNCTION("IF(Account!$F747&lt;&gt;"""", VALUE(REGEXREPLACE($I747, ""\,"", ""."")), """")"),"")</f>
        <v/>
      </c>
      <c r="N747" s="47" t="str">
        <f>IF(Account!$F747&lt;&gt;"", DATEVALUE(MID($A747,4,3) &amp; LEFT($A747,3) &amp; RIGHT($A747,4)) + TIMEVALUE($B747), "")</f>
        <v/>
      </c>
      <c r="O747" s="48" t="str">
        <f>IF(Account!$F747&lt;&gt;"", DATEVALUE(MID($A747,4,3) &amp; LEFT($A747,3) &amp; RIGHT($A747,4)), "")</f>
        <v/>
      </c>
      <c r="P747" s="49" t="str">
        <f>IFERROR(VLOOKUP($Q747,Selection!$F:$G,2,false))</f>
        <v/>
      </c>
      <c r="Q747" s="50" t="str">
        <f>IF(AND($X747="change",$H747="EUR"),IF(AND($Z747="Crédit",$N747=$N748),$Q748,IF(AND($Z747="Débit",$N747=$N746),$Q746)),IF(OR(AND(OR($E747&lt;&gt;"",$L747=""),$M747&lt;&gt;0),$A747=""),IFERROR(VLOOKUP($E747,Selection!$E:$F,2,false)),IFERROR(VLOOKUP(SUBSTITUTE($I747,"-","",1),$K748:$Q1119,7,false),VLOOKUP($K747,$K748:$Q1119,7,false))))</f>
        <v/>
      </c>
      <c r="R747" s="49" t="str">
        <f t="shared" si="2"/>
        <v/>
      </c>
      <c r="S747" s="51" t="str">
        <f t="shared" si="3"/>
        <v/>
      </c>
      <c r="T747" s="52" t="str">
        <f t="shared" si="4"/>
        <v/>
      </c>
      <c r="U747" s="46" t="str">
        <f t="shared" si="5"/>
        <v/>
      </c>
      <c r="V747" s="53" t="str">
        <f>IFERROR(__xludf.DUMMYFUNCTION(" IF(Account!$F747&lt;&gt;"""", SPLIT(Account!$F747, "" ""), """")"),"")</f>
        <v/>
      </c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</row>
    <row r="748">
      <c r="A748" s="215"/>
      <c r="B748" s="215"/>
      <c r="C748" s="215"/>
      <c r="D748" s="215"/>
      <c r="E748" s="215"/>
      <c r="F748" s="373"/>
      <c r="G748" s="215"/>
      <c r="H748" s="215"/>
      <c r="I748" s="215"/>
      <c r="J748" s="215"/>
      <c r="K748" s="215"/>
      <c r="L748" s="45" t="str">
        <f t="shared" si="1"/>
        <v/>
      </c>
      <c r="M748" s="46" t="str">
        <f>IFERROR(__xludf.DUMMYFUNCTION("IF(Account!$F748&lt;&gt;"""", VALUE(REGEXREPLACE($I748, ""\,"", ""."")), """")"),"")</f>
        <v/>
      </c>
      <c r="N748" s="47" t="str">
        <f>IF(Account!$F748&lt;&gt;"", DATEVALUE(MID($A748,4,3) &amp; LEFT($A748,3) &amp; RIGHT($A748,4)) + TIMEVALUE($B748), "")</f>
        <v/>
      </c>
      <c r="O748" s="48" t="str">
        <f>IF(Account!$F748&lt;&gt;"", DATEVALUE(MID($A748,4,3) &amp; LEFT($A748,3) &amp; RIGHT($A748,4)), "")</f>
        <v/>
      </c>
      <c r="P748" s="49" t="str">
        <f>IFERROR(VLOOKUP($Q748,Selection!$F:$G,2,false))</f>
        <v/>
      </c>
      <c r="Q748" s="50" t="str">
        <f>IF(AND($X748="change",$H748="EUR"),IF(AND($Z748="Crédit",$N748=$N749),$Q749,IF(AND($Z748="Débit",$N748=$N747),$Q747)),IF(OR(AND(OR($E748&lt;&gt;"",$L748=""),$M748&lt;&gt;0),$A748=""),IFERROR(VLOOKUP($E748,Selection!$E:$F,2,false)),IFERROR(VLOOKUP(SUBSTITUTE($I748,"-","",1),$K749:$Q1119,7,false),VLOOKUP($K748,$K749:$Q1119,7,false))))</f>
        <v/>
      </c>
      <c r="R748" s="49" t="str">
        <f t="shared" si="2"/>
        <v/>
      </c>
      <c r="S748" s="51" t="str">
        <f t="shared" si="3"/>
        <v/>
      </c>
      <c r="T748" s="52" t="str">
        <f t="shared" si="4"/>
        <v/>
      </c>
      <c r="U748" s="46" t="str">
        <f t="shared" si="5"/>
        <v/>
      </c>
      <c r="V748" s="53" t="str">
        <f>IFERROR(__xludf.DUMMYFUNCTION(" IF(Account!$F748&lt;&gt;"""", SPLIT(Account!$F748, "" ""), """")"),"")</f>
        <v/>
      </c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</row>
    <row r="749">
      <c r="A749" s="215"/>
      <c r="B749" s="215"/>
      <c r="C749" s="215"/>
      <c r="D749" s="215"/>
      <c r="E749" s="215"/>
      <c r="F749" s="373"/>
      <c r="G749" s="215"/>
      <c r="H749" s="215"/>
      <c r="I749" s="215"/>
      <c r="J749" s="215"/>
      <c r="K749" s="215"/>
      <c r="L749" s="45" t="str">
        <f t="shared" si="1"/>
        <v/>
      </c>
      <c r="M749" s="46" t="str">
        <f>IFERROR(__xludf.DUMMYFUNCTION("IF(Account!$F749&lt;&gt;"""", VALUE(REGEXREPLACE($I749, ""\,"", ""."")), """")"),"")</f>
        <v/>
      </c>
      <c r="N749" s="47" t="str">
        <f>IF(Account!$F749&lt;&gt;"", DATEVALUE(MID($A749,4,3) &amp; LEFT($A749,3) &amp; RIGHT($A749,4)) + TIMEVALUE($B749), "")</f>
        <v/>
      </c>
      <c r="O749" s="48" t="str">
        <f>IF(Account!$F749&lt;&gt;"", DATEVALUE(MID($A749,4,3) &amp; LEFT($A749,3) &amp; RIGHT($A749,4)), "")</f>
        <v/>
      </c>
      <c r="P749" s="49" t="str">
        <f>IFERROR(VLOOKUP($Q749,Selection!$F:$G,2,false))</f>
        <v/>
      </c>
      <c r="Q749" s="50" t="str">
        <f>IF(AND($X749="change",$H749="EUR"),IF(AND($Z749="Crédit",$N749=$N750),$Q750,IF(AND($Z749="Débit",$N749=$N748),$Q748)),IF(OR(AND(OR($E749&lt;&gt;"",$L749=""),$M749&lt;&gt;0),$A749=""),IFERROR(VLOOKUP($E749,Selection!$E:$F,2,false)),IFERROR(VLOOKUP(SUBSTITUTE($I749,"-","",1),$K750:$Q1119,7,false),VLOOKUP($K749,$K750:$Q1119,7,false))))</f>
        <v/>
      </c>
      <c r="R749" s="49" t="str">
        <f t="shared" si="2"/>
        <v/>
      </c>
      <c r="S749" s="51" t="str">
        <f t="shared" si="3"/>
        <v/>
      </c>
      <c r="T749" s="52" t="str">
        <f t="shared" si="4"/>
        <v/>
      </c>
      <c r="U749" s="46" t="str">
        <f t="shared" si="5"/>
        <v/>
      </c>
      <c r="V749" s="53" t="str">
        <f>IFERROR(__xludf.DUMMYFUNCTION(" IF(Account!$F749&lt;&gt;"""", SPLIT(Account!$F749, "" ""), """")"),"")</f>
        <v/>
      </c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</row>
    <row r="750">
      <c r="A750" s="215"/>
      <c r="B750" s="215"/>
      <c r="C750" s="215"/>
      <c r="D750" s="215"/>
      <c r="E750" s="215"/>
      <c r="F750" s="373"/>
      <c r="G750" s="215"/>
      <c r="H750" s="215"/>
      <c r="I750" s="215"/>
      <c r="J750" s="215"/>
      <c r="K750" s="215"/>
      <c r="L750" s="45" t="str">
        <f t="shared" si="1"/>
        <v/>
      </c>
      <c r="M750" s="46" t="str">
        <f>IFERROR(__xludf.DUMMYFUNCTION("IF(Account!$F750&lt;&gt;"""", VALUE(REGEXREPLACE($I750, ""\,"", ""."")), """")"),"")</f>
        <v/>
      </c>
      <c r="N750" s="47" t="str">
        <f>IF(Account!$F750&lt;&gt;"", DATEVALUE(MID($A750,4,3) &amp; LEFT($A750,3) &amp; RIGHT($A750,4)) + TIMEVALUE($B750), "")</f>
        <v/>
      </c>
      <c r="O750" s="48" t="str">
        <f>IF(Account!$F750&lt;&gt;"", DATEVALUE(MID($A750,4,3) &amp; LEFT($A750,3) &amp; RIGHT($A750,4)), "")</f>
        <v/>
      </c>
      <c r="P750" s="49" t="str">
        <f>IFERROR(VLOOKUP($Q750,Selection!$F:$G,2,false))</f>
        <v/>
      </c>
      <c r="Q750" s="50" t="str">
        <f>IF(AND($X750="change",$H750="EUR"),IF(AND($Z750="Crédit",$N750=$N751),$Q751,IF(AND($Z750="Débit",$N750=$N749),$Q749)),IF(OR(AND(OR($E750&lt;&gt;"",$L750=""),$M750&lt;&gt;0),$A750=""),IFERROR(VLOOKUP($E750,Selection!$E:$F,2,false)),IFERROR(VLOOKUP(SUBSTITUTE($I750,"-","",1),$K751:$Q1119,7,false),VLOOKUP($K750,$K751:$Q1119,7,false))))</f>
        <v/>
      </c>
      <c r="R750" s="49" t="str">
        <f t="shared" si="2"/>
        <v/>
      </c>
      <c r="S750" s="51" t="str">
        <f t="shared" si="3"/>
        <v/>
      </c>
      <c r="T750" s="52" t="str">
        <f t="shared" si="4"/>
        <v/>
      </c>
      <c r="U750" s="46" t="str">
        <f t="shared" si="5"/>
        <v/>
      </c>
      <c r="V750" s="53" t="str">
        <f>IFERROR(__xludf.DUMMYFUNCTION(" IF(Account!$F750&lt;&gt;"""", SPLIT(Account!$F750, "" ""), """")"),"")</f>
        <v/>
      </c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</row>
    <row r="751">
      <c r="A751" s="215"/>
      <c r="B751" s="215"/>
      <c r="C751" s="215"/>
      <c r="D751" s="215"/>
      <c r="E751" s="215"/>
      <c r="F751" s="373"/>
      <c r="G751" s="215"/>
      <c r="H751" s="215"/>
      <c r="I751" s="215"/>
      <c r="J751" s="215"/>
      <c r="K751" s="215"/>
      <c r="L751" s="45" t="str">
        <f t="shared" si="1"/>
        <v/>
      </c>
      <c r="M751" s="46" t="str">
        <f>IFERROR(__xludf.DUMMYFUNCTION("IF(Account!$F751&lt;&gt;"""", VALUE(REGEXREPLACE($I751, ""\,"", ""."")), """")"),"")</f>
        <v/>
      </c>
      <c r="N751" s="47" t="str">
        <f>IF(Account!$F751&lt;&gt;"", DATEVALUE(MID($A751,4,3) &amp; LEFT($A751,3) &amp; RIGHT($A751,4)) + TIMEVALUE($B751), "")</f>
        <v/>
      </c>
      <c r="O751" s="48" t="str">
        <f>IF(Account!$F751&lt;&gt;"", DATEVALUE(MID($A751,4,3) &amp; LEFT($A751,3) &amp; RIGHT($A751,4)), "")</f>
        <v/>
      </c>
      <c r="P751" s="49" t="str">
        <f>IFERROR(VLOOKUP($Q751,Selection!$F:$G,2,false))</f>
        <v/>
      </c>
      <c r="Q751" s="50" t="str">
        <f>IF(AND($X751="change",$H751="EUR"),IF(AND($Z751="Crédit",$N751=$N752),$Q752,IF(AND($Z751="Débit",$N751=$N750),$Q750)),IF(OR(AND(OR($E751&lt;&gt;"",$L751=""),$M751&lt;&gt;0),$A751=""),IFERROR(VLOOKUP($E751,Selection!$E:$F,2,false)),IFERROR(VLOOKUP(SUBSTITUTE($I751,"-","",1),$K752:$Q1119,7,false),VLOOKUP($K751,$K752:$Q1119,7,false))))</f>
        <v/>
      </c>
      <c r="R751" s="49" t="str">
        <f t="shared" si="2"/>
        <v/>
      </c>
      <c r="S751" s="51" t="str">
        <f t="shared" si="3"/>
        <v/>
      </c>
      <c r="T751" s="52" t="str">
        <f t="shared" si="4"/>
        <v/>
      </c>
      <c r="U751" s="46" t="str">
        <f t="shared" si="5"/>
        <v/>
      </c>
      <c r="V751" s="53" t="str">
        <f>IFERROR(__xludf.DUMMYFUNCTION(" IF(Account!$F751&lt;&gt;"""", SPLIT(Account!$F751, "" ""), """")"),"")</f>
        <v/>
      </c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</row>
    <row r="752">
      <c r="A752" s="215"/>
      <c r="B752" s="215"/>
      <c r="C752" s="215"/>
      <c r="D752" s="215"/>
      <c r="E752" s="215"/>
      <c r="F752" s="373"/>
      <c r="G752" s="215"/>
      <c r="H752" s="215"/>
      <c r="I752" s="215"/>
      <c r="J752" s="215"/>
      <c r="K752" s="215"/>
      <c r="L752" s="45" t="str">
        <f t="shared" si="1"/>
        <v/>
      </c>
      <c r="M752" s="46" t="str">
        <f>IFERROR(__xludf.DUMMYFUNCTION("IF(Account!$F752&lt;&gt;"""", VALUE(REGEXREPLACE($I752, ""\,"", ""."")), """")"),"")</f>
        <v/>
      </c>
      <c r="N752" s="47" t="str">
        <f>IF(Account!$F752&lt;&gt;"", DATEVALUE(MID($A752,4,3) &amp; LEFT($A752,3) &amp; RIGHT($A752,4)) + TIMEVALUE($B752), "")</f>
        <v/>
      </c>
      <c r="O752" s="48" t="str">
        <f>IF(Account!$F752&lt;&gt;"", DATEVALUE(MID($A752,4,3) &amp; LEFT($A752,3) &amp; RIGHT($A752,4)), "")</f>
        <v/>
      </c>
      <c r="P752" s="49" t="str">
        <f>IFERROR(VLOOKUP($Q752,Selection!$F:$G,2,false))</f>
        <v/>
      </c>
      <c r="Q752" s="50" t="str">
        <f>IF(AND($X752="change",$H752="EUR"),IF(AND($Z752="Crédit",$N752=$N753),$Q753,IF(AND($Z752="Débit",$N752=$N751),$Q751)),IF(OR(AND(OR($E752&lt;&gt;"",$L752=""),$M752&lt;&gt;0),$A752=""),IFERROR(VLOOKUP($E752,Selection!$E:$F,2,false)),IFERROR(VLOOKUP(SUBSTITUTE($I752,"-","",1),$K753:$Q1119,7,false),VLOOKUP($K752,$K753:$Q1119,7,false))))</f>
        <v/>
      </c>
      <c r="R752" s="49" t="str">
        <f t="shared" si="2"/>
        <v/>
      </c>
      <c r="S752" s="51" t="str">
        <f t="shared" si="3"/>
        <v/>
      </c>
      <c r="T752" s="52" t="str">
        <f t="shared" si="4"/>
        <v/>
      </c>
      <c r="U752" s="46" t="str">
        <f t="shared" si="5"/>
        <v/>
      </c>
      <c r="V752" s="53" t="str">
        <f>IFERROR(__xludf.DUMMYFUNCTION(" IF(Account!$F752&lt;&gt;"""", SPLIT(Account!$F752, "" ""), """")"),"")</f>
        <v/>
      </c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</row>
    <row r="753">
      <c r="A753" s="215"/>
      <c r="B753" s="215"/>
      <c r="C753" s="215"/>
      <c r="D753" s="215"/>
      <c r="E753" s="215"/>
      <c r="F753" s="373"/>
      <c r="G753" s="215"/>
      <c r="H753" s="215"/>
      <c r="I753" s="215"/>
      <c r="J753" s="215"/>
      <c r="K753" s="215"/>
      <c r="L753" s="45" t="str">
        <f t="shared" si="1"/>
        <v/>
      </c>
      <c r="M753" s="46" t="str">
        <f>IFERROR(__xludf.DUMMYFUNCTION("IF(Account!$F753&lt;&gt;"""", VALUE(REGEXREPLACE($I753, ""\,"", ""."")), """")"),"")</f>
        <v/>
      </c>
      <c r="N753" s="47" t="str">
        <f>IF(Account!$F753&lt;&gt;"", DATEVALUE(MID($A753,4,3) &amp; LEFT($A753,3) &amp; RIGHT($A753,4)) + TIMEVALUE($B753), "")</f>
        <v/>
      </c>
      <c r="O753" s="48" t="str">
        <f>IF(Account!$F753&lt;&gt;"", DATEVALUE(MID($A753,4,3) &amp; LEFT($A753,3) &amp; RIGHT($A753,4)), "")</f>
        <v/>
      </c>
      <c r="P753" s="49" t="str">
        <f>IFERROR(VLOOKUP($Q753,Selection!$F:$G,2,false))</f>
        <v/>
      </c>
      <c r="Q753" s="50" t="str">
        <f>IF(AND($X753="change",$H753="EUR"),IF(AND($Z753="Crédit",$N753=$N754),$Q754,IF(AND($Z753="Débit",$N753=$N752),$Q752)),IF(OR(AND(OR($E753&lt;&gt;"",$L753=""),$M753&lt;&gt;0),$A753=""),IFERROR(VLOOKUP($E753,Selection!$E:$F,2,false)),IFERROR(VLOOKUP(SUBSTITUTE($I753,"-","",1),$K754:$Q1119,7,false),VLOOKUP($K753,$K754:$Q1119,7,false))))</f>
        <v/>
      </c>
      <c r="R753" s="49" t="str">
        <f t="shared" si="2"/>
        <v/>
      </c>
      <c r="S753" s="51" t="str">
        <f t="shared" si="3"/>
        <v/>
      </c>
      <c r="T753" s="52" t="str">
        <f t="shared" si="4"/>
        <v/>
      </c>
      <c r="U753" s="46" t="str">
        <f t="shared" si="5"/>
        <v/>
      </c>
      <c r="V753" s="53" t="str">
        <f>IFERROR(__xludf.DUMMYFUNCTION(" IF(Account!$F753&lt;&gt;"""", SPLIT(Account!$F753, "" ""), """")"),"")</f>
        <v/>
      </c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</row>
    <row r="754">
      <c r="A754" s="215"/>
      <c r="B754" s="215"/>
      <c r="C754" s="215"/>
      <c r="D754" s="215"/>
      <c r="E754" s="215"/>
      <c r="F754" s="373"/>
      <c r="G754" s="215"/>
      <c r="H754" s="215"/>
      <c r="I754" s="215"/>
      <c r="J754" s="215"/>
      <c r="K754" s="215"/>
      <c r="L754" s="45" t="str">
        <f t="shared" si="1"/>
        <v/>
      </c>
      <c r="M754" s="46" t="str">
        <f>IFERROR(__xludf.DUMMYFUNCTION("IF(Account!$F754&lt;&gt;"""", VALUE(REGEXREPLACE($I754, ""\,"", ""."")), """")"),"")</f>
        <v/>
      </c>
      <c r="N754" s="47" t="str">
        <f>IF(Account!$F754&lt;&gt;"", DATEVALUE(MID($A754,4,3) &amp; LEFT($A754,3) &amp; RIGHT($A754,4)) + TIMEVALUE($B754), "")</f>
        <v/>
      </c>
      <c r="O754" s="48" t="str">
        <f>IF(Account!$F754&lt;&gt;"", DATEVALUE(MID($A754,4,3) &amp; LEFT($A754,3) &amp; RIGHT($A754,4)), "")</f>
        <v/>
      </c>
      <c r="P754" s="49" t="str">
        <f>IFERROR(VLOOKUP($Q754,Selection!$F:$G,2,false))</f>
        <v/>
      </c>
      <c r="Q754" s="50" t="str">
        <f>IF(AND($X754="change",$H754="EUR"),IF(AND($Z754="Crédit",$N754=$N755),$Q755,IF(AND($Z754="Débit",$N754=$N753),$Q753)),IF(OR(AND(OR($E754&lt;&gt;"",$L754=""),$M754&lt;&gt;0),$A754=""),IFERROR(VLOOKUP($E754,Selection!$E:$F,2,false)),IFERROR(VLOOKUP(SUBSTITUTE($I754,"-","",1),$K755:$Q1119,7,false),VLOOKUP($K754,$K755:$Q1119,7,false))))</f>
        <v/>
      </c>
      <c r="R754" s="49" t="str">
        <f t="shared" si="2"/>
        <v/>
      </c>
      <c r="S754" s="51" t="str">
        <f t="shared" si="3"/>
        <v/>
      </c>
      <c r="T754" s="52" t="str">
        <f t="shared" si="4"/>
        <v/>
      </c>
      <c r="U754" s="46" t="str">
        <f t="shared" si="5"/>
        <v/>
      </c>
      <c r="V754" s="53" t="str">
        <f>IFERROR(__xludf.DUMMYFUNCTION(" IF(Account!$F754&lt;&gt;"""", SPLIT(Account!$F754, "" ""), """")"),"")</f>
        <v/>
      </c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</row>
    <row r="755">
      <c r="A755" s="215"/>
      <c r="B755" s="215"/>
      <c r="C755" s="215"/>
      <c r="D755" s="215"/>
      <c r="E755" s="215"/>
      <c r="F755" s="373"/>
      <c r="G755" s="215"/>
      <c r="H755" s="215"/>
      <c r="I755" s="215"/>
      <c r="J755" s="215"/>
      <c r="K755" s="215"/>
      <c r="L755" s="45" t="str">
        <f t="shared" si="1"/>
        <v/>
      </c>
      <c r="M755" s="46" t="str">
        <f>IFERROR(__xludf.DUMMYFUNCTION("IF(Account!$F755&lt;&gt;"""", VALUE(REGEXREPLACE($I755, ""\,"", ""."")), """")"),"")</f>
        <v/>
      </c>
      <c r="N755" s="47" t="str">
        <f>IF(Account!$F755&lt;&gt;"", DATEVALUE(MID($A755,4,3) &amp; LEFT($A755,3) &amp; RIGHT($A755,4)) + TIMEVALUE($B755), "")</f>
        <v/>
      </c>
      <c r="O755" s="48" t="str">
        <f>IF(Account!$F755&lt;&gt;"", DATEVALUE(MID($A755,4,3) &amp; LEFT($A755,3) &amp; RIGHT($A755,4)), "")</f>
        <v/>
      </c>
      <c r="P755" s="49" t="str">
        <f>IFERROR(VLOOKUP($Q755,Selection!$F:$G,2,false))</f>
        <v/>
      </c>
      <c r="Q755" s="50" t="str">
        <f>IF(AND($X755="change",$H755="EUR"),IF(AND($Z755="Crédit",$N755=$N756),$Q756,IF(AND($Z755="Débit",$N755=$N754),$Q754)),IF(OR(AND(OR($E755&lt;&gt;"",$L755=""),$M755&lt;&gt;0),$A755=""),IFERROR(VLOOKUP($E755,Selection!$E:$F,2,false)),IFERROR(VLOOKUP(SUBSTITUTE($I755,"-","",1),$K756:$Q1119,7,false),VLOOKUP($K755,$K756:$Q1119,7,false))))</f>
        <v/>
      </c>
      <c r="R755" s="49" t="str">
        <f t="shared" si="2"/>
        <v/>
      </c>
      <c r="S755" s="51" t="str">
        <f t="shared" si="3"/>
        <v/>
      </c>
      <c r="T755" s="52" t="str">
        <f t="shared" si="4"/>
        <v/>
      </c>
      <c r="U755" s="46" t="str">
        <f t="shared" si="5"/>
        <v/>
      </c>
      <c r="V755" s="53" t="str">
        <f>IFERROR(__xludf.DUMMYFUNCTION(" IF(Account!$F755&lt;&gt;"""", SPLIT(Account!$F755, "" ""), """")"),"")</f>
        <v/>
      </c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</row>
    <row r="756">
      <c r="A756" s="215"/>
      <c r="B756" s="215"/>
      <c r="C756" s="215"/>
      <c r="D756" s="215"/>
      <c r="E756" s="215"/>
      <c r="F756" s="373"/>
      <c r="G756" s="215"/>
      <c r="H756" s="215"/>
      <c r="I756" s="215"/>
      <c r="J756" s="215"/>
      <c r="K756" s="215"/>
      <c r="L756" s="45" t="str">
        <f t="shared" si="1"/>
        <v/>
      </c>
      <c r="M756" s="46" t="str">
        <f>IFERROR(__xludf.DUMMYFUNCTION("IF(Account!$F756&lt;&gt;"""", VALUE(REGEXREPLACE($I756, ""\,"", ""."")), """")"),"")</f>
        <v/>
      </c>
      <c r="N756" s="47" t="str">
        <f>IF(Account!$F756&lt;&gt;"", DATEVALUE(MID($A756,4,3) &amp; LEFT($A756,3) &amp; RIGHT($A756,4)) + TIMEVALUE($B756), "")</f>
        <v/>
      </c>
      <c r="O756" s="48" t="str">
        <f>IF(Account!$F756&lt;&gt;"", DATEVALUE(MID($A756,4,3) &amp; LEFT($A756,3) &amp; RIGHT($A756,4)), "")</f>
        <v/>
      </c>
      <c r="P756" s="49" t="str">
        <f>IFERROR(VLOOKUP($Q756,Selection!$F:$G,2,false))</f>
        <v/>
      </c>
      <c r="Q756" s="50" t="str">
        <f>IF(AND($X756="change",$H756="EUR"),IF(AND($Z756="Crédit",$N756=$N757),$Q757,IF(AND($Z756="Débit",$N756=$N755),$Q755)),IF(OR(AND(OR($E756&lt;&gt;"",$L756=""),$M756&lt;&gt;0),$A756=""),IFERROR(VLOOKUP($E756,Selection!$E:$F,2,false)),IFERROR(VLOOKUP(SUBSTITUTE($I756,"-","",1),$K757:$Q1119,7,false),VLOOKUP($K756,$K757:$Q1119,7,false))))</f>
        <v/>
      </c>
      <c r="R756" s="49" t="str">
        <f t="shared" si="2"/>
        <v/>
      </c>
      <c r="S756" s="51" t="str">
        <f t="shared" si="3"/>
        <v/>
      </c>
      <c r="T756" s="52" t="str">
        <f t="shared" si="4"/>
        <v/>
      </c>
      <c r="U756" s="46" t="str">
        <f t="shared" si="5"/>
        <v/>
      </c>
      <c r="V756" s="53" t="str">
        <f>IFERROR(__xludf.DUMMYFUNCTION(" IF(Account!$F756&lt;&gt;"""", SPLIT(Account!$F756, "" ""), """")"),"")</f>
        <v/>
      </c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</row>
    <row r="757">
      <c r="A757" s="215"/>
      <c r="B757" s="215"/>
      <c r="C757" s="215"/>
      <c r="D757" s="215"/>
      <c r="E757" s="215"/>
      <c r="F757" s="373"/>
      <c r="G757" s="215"/>
      <c r="H757" s="215"/>
      <c r="I757" s="215"/>
      <c r="J757" s="215"/>
      <c r="K757" s="215"/>
      <c r="L757" s="45" t="str">
        <f t="shared" si="1"/>
        <v/>
      </c>
      <c r="M757" s="46" t="str">
        <f>IFERROR(__xludf.DUMMYFUNCTION("IF(Account!$F757&lt;&gt;"""", VALUE(REGEXREPLACE($I757, ""\,"", ""."")), """")"),"")</f>
        <v/>
      </c>
      <c r="N757" s="47" t="str">
        <f>IF(Account!$F757&lt;&gt;"", DATEVALUE(MID($A757,4,3) &amp; LEFT($A757,3) &amp; RIGHT($A757,4)) + TIMEVALUE($B757), "")</f>
        <v/>
      </c>
      <c r="O757" s="48" t="str">
        <f>IF(Account!$F757&lt;&gt;"", DATEVALUE(MID($A757,4,3) &amp; LEFT($A757,3) &amp; RIGHT($A757,4)), "")</f>
        <v/>
      </c>
      <c r="P757" s="49" t="str">
        <f>IFERROR(VLOOKUP($Q757,Selection!$F:$G,2,false))</f>
        <v/>
      </c>
      <c r="Q757" s="50" t="str">
        <f>IF(AND($X757="change",$H757="EUR"),IF(AND($Z757="Crédit",$N757=$N758),$Q758,IF(AND($Z757="Débit",$N757=$N756),$Q756)),IF(OR(AND(OR($E757&lt;&gt;"",$L757=""),$M757&lt;&gt;0),$A757=""),IFERROR(VLOOKUP($E757,Selection!$E:$F,2,false)),IFERROR(VLOOKUP(SUBSTITUTE($I757,"-","",1),$K758:$Q1119,7,false),VLOOKUP($K757,$K758:$Q1119,7,false))))</f>
        <v/>
      </c>
      <c r="R757" s="49" t="str">
        <f t="shared" si="2"/>
        <v/>
      </c>
      <c r="S757" s="51" t="str">
        <f t="shared" si="3"/>
        <v/>
      </c>
      <c r="T757" s="52" t="str">
        <f t="shared" si="4"/>
        <v/>
      </c>
      <c r="U757" s="46" t="str">
        <f t="shared" si="5"/>
        <v/>
      </c>
      <c r="V757" s="53" t="str">
        <f>IFERROR(__xludf.DUMMYFUNCTION(" IF(Account!$F757&lt;&gt;"""", SPLIT(Account!$F757, "" ""), """")"),"")</f>
        <v/>
      </c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</row>
    <row r="758">
      <c r="A758" s="215"/>
      <c r="B758" s="215"/>
      <c r="C758" s="215"/>
      <c r="D758" s="215"/>
      <c r="E758" s="215"/>
      <c r="F758" s="373"/>
      <c r="G758" s="215"/>
      <c r="H758" s="215"/>
      <c r="I758" s="215"/>
      <c r="J758" s="215"/>
      <c r="K758" s="215"/>
      <c r="L758" s="45" t="str">
        <f t="shared" si="1"/>
        <v/>
      </c>
      <c r="M758" s="46" t="str">
        <f>IFERROR(__xludf.DUMMYFUNCTION("IF(Account!$F758&lt;&gt;"""", VALUE(REGEXREPLACE($I758, ""\,"", ""."")), """")"),"")</f>
        <v/>
      </c>
      <c r="N758" s="47" t="str">
        <f>IF(Account!$F758&lt;&gt;"", DATEVALUE(MID($A758,4,3) &amp; LEFT($A758,3) &amp; RIGHT($A758,4)) + TIMEVALUE($B758), "")</f>
        <v/>
      </c>
      <c r="O758" s="48" t="str">
        <f>IF(Account!$F758&lt;&gt;"", DATEVALUE(MID($A758,4,3) &amp; LEFT($A758,3) &amp; RIGHT($A758,4)), "")</f>
        <v/>
      </c>
      <c r="P758" s="49" t="str">
        <f>IFERROR(VLOOKUP($Q758,Selection!$F:$G,2,false))</f>
        <v/>
      </c>
      <c r="Q758" s="50" t="str">
        <f>IF(AND($X758="change",$H758="EUR"),IF(AND($Z758="Crédit",$N758=$N759),$Q759,IF(AND($Z758="Débit",$N758=$N757),$Q757)),IF(OR(AND(OR($E758&lt;&gt;"",$L758=""),$M758&lt;&gt;0),$A758=""),IFERROR(VLOOKUP($E758,Selection!$E:$F,2,false)),IFERROR(VLOOKUP(SUBSTITUTE($I758,"-","",1),$K759:$Q1119,7,false),VLOOKUP($K758,$K759:$Q1119,7,false))))</f>
        <v/>
      </c>
      <c r="R758" s="49" t="str">
        <f t="shared" si="2"/>
        <v/>
      </c>
      <c r="S758" s="51" t="str">
        <f t="shared" si="3"/>
        <v/>
      </c>
      <c r="T758" s="52" t="str">
        <f t="shared" si="4"/>
        <v/>
      </c>
      <c r="U758" s="46" t="str">
        <f t="shared" si="5"/>
        <v/>
      </c>
      <c r="V758" s="53" t="str">
        <f>IFERROR(__xludf.DUMMYFUNCTION(" IF(Account!$F758&lt;&gt;"""", SPLIT(Account!$F758, "" ""), """")"),"")</f>
        <v/>
      </c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</row>
    <row r="759">
      <c r="A759" s="215"/>
      <c r="B759" s="215"/>
      <c r="C759" s="215"/>
      <c r="D759" s="215"/>
      <c r="E759" s="215"/>
      <c r="F759" s="373"/>
      <c r="G759" s="215"/>
      <c r="H759" s="215"/>
      <c r="I759" s="215"/>
      <c r="J759" s="215"/>
      <c r="K759" s="215"/>
      <c r="L759" s="45" t="str">
        <f t="shared" si="1"/>
        <v/>
      </c>
      <c r="M759" s="46" t="str">
        <f>IFERROR(__xludf.DUMMYFUNCTION("IF(Account!$F759&lt;&gt;"""", VALUE(REGEXREPLACE($I759, ""\,"", ""."")), """")"),"")</f>
        <v/>
      </c>
      <c r="N759" s="47" t="str">
        <f>IF(Account!$F759&lt;&gt;"", DATEVALUE(MID($A759,4,3) &amp; LEFT($A759,3) &amp; RIGHT($A759,4)) + TIMEVALUE($B759), "")</f>
        <v/>
      </c>
      <c r="O759" s="48" t="str">
        <f>IF(Account!$F759&lt;&gt;"", DATEVALUE(MID($A759,4,3) &amp; LEFT($A759,3) &amp; RIGHT($A759,4)), "")</f>
        <v/>
      </c>
      <c r="P759" s="49" t="str">
        <f>IFERROR(VLOOKUP($Q759,Selection!$F:$G,2,false))</f>
        <v/>
      </c>
      <c r="Q759" s="50" t="str">
        <f>IF(AND($X759="change",$H759="EUR"),IF(AND($Z759="Crédit",$N759=$N760),$Q760,IF(AND($Z759="Débit",$N759=$N758),$Q758)),IF(OR(AND(OR($E759&lt;&gt;"",$L759=""),$M759&lt;&gt;0),$A759=""),IFERROR(VLOOKUP($E759,Selection!$E:$F,2,false)),IFERROR(VLOOKUP(SUBSTITUTE($I759,"-","",1),$K760:$Q1119,7,false),VLOOKUP($K759,$K760:$Q1119,7,false))))</f>
        <v/>
      </c>
      <c r="R759" s="49" t="str">
        <f t="shared" si="2"/>
        <v/>
      </c>
      <c r="S759" s="51" t="str">
        <f t="shared" si="3"/>
        <v/>
      </c>
      <c r="T759" s="52" t="str">
        <f t="shared" si="4"/>
        <v/>
      </c>
      <c r="U759" s="46" t="str">
        <f t="shared" si="5"/>
        <v/>
      </c>
      <c r="V759" s="53" t="str">
        <f>IFERROR(__xludf.DUMMYFUNCTION(" IF(Account!$F759&lt;&gt;"""", SPLIT(Account!$F759, "" ""), """")"),"")</f>
        <v/>
      </c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</row>
    <row r="760">
      <c r="A760" s="215"/>
      <c r="B760" s="215"/>
      <c r="C760" s="215"/>
      <c r="D760" s="215"/>
      <c r="E760" s="215"/>
      <c r="F760" s="373"/>
      <c r="G760" s="215"/>
      <c r="H760" s="215"/>
      <c r="I760" s="215"/>
      <c r="J760" s="215"/>
      <c r="K760" s="215"/>
      <c r="L760" s="45" t="str">
        <f t="shared" si="1"/>
        <v/>
      </c>
      <c r="M760" s="46" t="str">
        <f>IFERROR(__xludf.DUMMYFUNCTION("IF(Account!$F760&lt;&gt;"""", VALUE(REGEXREPLACE($I760, ""\,"", ""."")), """")"),"")</f>
        <v/>
      </c>
      <c r="N760" s="47" t="str">
        <f>IF(Account!$F760&lt;&gt;"", DATEVALUE(MID($A760,4,3) &amp; LEFT($A760,3) &amp; RIGHT($A760,4)) + TIMEVALUE($B760), "")</f>
        <v/>
      </c>
      <c r="O760" s="48" t="str">
        <f>IF(Account!$F760&lt;&gt;"", DATEVALUE(MID($A760,4,3) &amp; LEFT($A760,3) &amp; RIGHT($A760,4)), "")</f>
        <v/>
      </c>
      <c r="P760" s="49" t="str">
        <f>IFERROR(VLOOKUP($Q760,Selection!$F:$G,2,false))</f>
        <v/>
      </c>
      <c r="Q760" s="50" t="str">
        <f>IF(AND($X760="change",$H760="EUR"),IF(AND($Z760="Crédit",$N760=$N761),$Q761,IF(AND($Z760="Débit",$N760=$N759),$Q759)),IF(OR(AND(OR($E760&lt;&gt;"",$L760=""),$M760&lt;&gt;0),$A760=""),IFERROR(VLOOKUP($E760,Selection!$E:$F,2,false)),IFERROR(VLOOKUP(SUBSTITUTE($I760,"-","",1),$K761:$Q1119,7,false),VLOOKUP($K760,$K761:$Q1119,7,false))))</f>
        <v/>
      </c>
      <c r="R760" s="49" t="str">
        <f t="shared" si="2"/>
        <v/>
      </c>
      <c r="S760" s="51" t="str">
        <f t="shared" si="3"/>
        <v/>
      </c>
      <c r="T760" s="52" t="str">
        <f t="shared" si="4"/>
        <v/>
      </c>
      <c r="U760" s="46" t="str">
        <f t="shared" si="5"/>
        <v/>
      </c>
      <c r="V760" s="53" t="str">
        <f>IFERROR(__xludf.DUMMYFUNCTION(" IF(Account!$F760&lt;&gt;"""", SPLIT(Account!$F760, "" ""), """")"),"")</f>
        <v/>
      </c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</row>
    <row r="761">
      <c r="A761" s="215"/>
      <c r="B761" s="215"/>
      <c r="C761" s="215"/>
      <c r="D761" s="215"/>
      <c r="E761" s="215"/>
      <c r="F761" s="373"/>
      <c r="G761" s="215"/>
      <c r="H761" s="215"/>
      <c r="I761" s="215"/>
      <c r="J761" s="215"/>
      <c r="K761" s="215"/>
      <c r="L761" s="45" t="str">
        <f t="shared" si="1"/>
        <v/>
      </c>
      <c r="M761" s="46" t="str">
        <f>IFERROR(__xludf.DUMMYFUNCTION("IF(Account!$F761&lt;&gt;"""", VALUE(REGEXREPLACE($I761, ""\,"", ""."")), """")"),"")</f>
        <v/>
      </c>
      <c r="N761" s="47" t="str">
        <f>IF(Account!$F761&lt;&gt;"", DATEVALUE(MID($A761,4,3) &amp; LEFT($A761,3) &amp; RIGHT($A761,4)) + TIMEVALUE($B761), "")</f>
        <v/>
      </c>
      <c r="O761" s="48" t="str">
        <f>IF(Account!$F761&lt;&gt;"", DATEVALUE(MID($A761,4,3) &amp; LEFT($A761,3) &amp; RIGHT($A761,4)), "")</f>
        <v/>
      </c>
      <c r="P761" s="49" t="str">
        <f>IFERROR(VLOOKUP($Q761,Selection!$F:$G,2,false))</f>
        <v/>
      </c>
      <c r="Q761" s="50" t="str">
        <f>IF(AND($X761="change",$H761="EUR"),IF(AND($Z761="Crédit",$N761=$N762),$Q762,IF(AND($Z761="Débit",$N761=$N760),$Q760)),IF(OR(AND(OR($E761&lt;&gt;"",$L761=""),$M761&lt;&gt;0),$A761=""),IFERROR(VLOOKUP($E761,Selection!$E:$F,2,false)),IFERROR(VLOOKUP(SUBSTITUTE($I761,"-","",1),$K762:$Q1119,7,false),VLOOKUP($K761,$K762:$Q1119,7,false))))</f>
        <v/>
      </c>
      <c r="R761" s="49" t="str">
        <f t="shared" si="2"/>
        <v/>
      </c>
      <c r="S761" s="51" t="str">
        <f t="shared" si="3"/>
        <v/>
      </c>
      <c r="T761" s="52" t="str">
        <f t="shared" si="4"/>
        <v/>
      </c>
      <c r="U761" s="46" t="str">
        <f t="shared" si="5"/>
        <v/>
      </c>
      <c r="V761" s="53" t="str">
        <f>IFERROR(__xludf.DUMMYFUNCTION(" IF(Account!$F761&lt;&gt;"""", SPLIT(Account!$F761, "" ""), """")"),"")</f>
        <v/>
      </c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</row>
    <row r="762">
      <c r="A762" s="215"/>
      <c r="B762" s="215"/>
      <c r="C762" s="215"/>
      <c r="D762" s="215"/>
      <c r="E762" s="215"/>
      <c r="F762" s="373"/>
      <c r="G762" s="215"/>
      <c r="H762" s="215"/>
      <c r="I762" s="215"/>
      <c r="J762" s="215"/>
      <c r="K762" s="215"/>
      <c r="L762" s="45" t="str">
        <f t="shared" si="1"/>
        <v/>
      </c>
      <c r="M762" s="46" t="str">
        <f>IFERROR(__xludf.DUMMYFUNCTION("IF(Account!$F762&lt;&gt;"""", VALUE(REGEXREPLACE($I762, ""\,"", ""."")), """")"),"")</f>
        <v/>
      </c>
      <c r="N762" s="47" t="str">
        <f>IF(Account!$F762&lt;&gt;"", DATEVALUE(MID($A762,4,3) &amp; LEFT($A762,3) &amp; RIGHT($A762,4)) + TIMEVALUE($B762), "")</f>
        <v/>
      </c>
      <c r="O762" s="48" t="str">
        <f>IF(Account!$F762&lt;&gt;"", DATEVALUE(MID($A762,4,3) &amp; LEFT($A762,3) &amp; RIGHT($A762,4)), "")</f>
        <v/>
      </c>
      <c r="P762" s="49" t="str">
        <f>IFERROR(VLOOKUP($Q762,Selection!$F:$G,2,false))</f>
        <v/>
      </c>
      <c r="Q762" s="50" t="str">
        <f>IF(AND($X762="change",$H762="EUR"),IF(AND($Z762="Crédit",$N762=$N763),$Q763,IF(AND($Z762="Débit",$N762=$N761),$Q761)),IF(OR(AND(OR($E762&lt;&gt;"",$L762=""),$M762&lt;&gt;0),$A762=""),IFERROR(VLOOKUP($E762,Selection!$E:$F,2,false)),IFERROR(VLOOKUP(SUBSTITUTE($I762,"-","",1),$K763:$Q1119,7,false),VLOOKUP($K762,$K763:$Q1119,7,false))))</f>
        <v/>
      </c>
      <c r="R762" s="49" t="str">
        <f t="shared" si="2"/>
        <v/>
      </c>
      <c r="S762" s="51" t="str">
        <f t="shared" si="3"/>
        <v/>
      </c>
      <c r="T762" s="52" t="str">
        <f t="shared" si="4"/>
        <v/>
      </c>
      <c r="U762" s="46" t="str">
        <f t="shared" si="5"/>
        <v/>
      </c>
      <c r="V762" s="53" t="str">
        <f>IFERROR(__xludf.DUMMYFUNCTION(" IF(Account!$F762&lt;&gt;"""", SPLIT(Account!$F762, "" ""), """")"),"")</f>
        <v/>
      </c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</row>
    <row r="763">
      <c r="A763" s="215"/>
      <c r="B763" s="215"/>
      <c r="C763" s="215"/>
      <c r="D763" s="215"/>
      <c r="E763" s="215"/>
      <c r="F763" s="373"/>
      <c r="G763" s="215"/>
      <c r="H763" s="215"/>
      <c r="I763" s="215"/>
      <c r="J763" s="215"/>
      <c r="K763" s="215"/>
      <c r="L763" s="45" t="str">
        <f t="shared" si="1"/>
        <v/>
      </c>
      <c r="M763" s="46" t="str">
        <f>IFERROR(__xludf.DUMMYFUNCTION("IF(Account!$F763&lt;&gt;"""", VALUE(REGEXREPLACE($I763, ""\,"", ""."")), """")"),"")</f>
        <v/>
      </c>
      <c r="N763" s="47" t="str">
        <f>IF(Account!$F763&lt;&gt;"", DATEVALUE(MID($A763,4,3) &amp; LEFT($A763,3) &amp; RIGHT($A763,4)) + TIMEVALUE($B763), "")</f>
        <v/>
      </c>
      <c r="O763" s="48" t="str">
        <f>IF(Account!$F763&lt;&gt;"", DATEVALUE(MID($A763,4,3) &amp; LEFT($A763,3) &amp; RIGHT($A763,4)), "")</f>
        <v/>
      </c>
      <c r="P763" s="49" t="str">
        <f>IFERROR(VLOOKUP($Q763,Selection!$F:$G,2,false))</f>
        <v/>
      </c>
      <c r="Q763" s="50" t="str">
        <f>IF(AND($X763="change",$H763="EUR"),IF(AND($Z763="Crédit",$N763=$N764),$Q764,IF(AND($Z763="Débit",$N763=$N762),$Q762)),IF(OR(AND(OR($E763&lt;&gt;"",$L763=""),$M763&lt;&gt;0),$A763=""),IFERROR(VLOOKUP($E763,Selection!$E:$F,2,false)),IFERROR(VLOOKUP(SUBSTITUTE($I763,"-","",1),$K764:$Q1119,7,false),VLOOKUP($K763,$K764:$Q1119,7,false))))</f>
        <v/>
      </c>
      <c r="R763" s="49" t="str">
        <f t="shared" si="2"/>
        <v/>
      </c>
      <c r="S763" s="51" t="str">
        <f t="shared" si="3"/>
        <v/>
      </c>
      <c r="T763" s="52" t="str">
        <f t="shared" si="4"/>
        <v/>
      </c>
      <c r="U763" s="46" t="str">
        <f t="shared" si="5"/>
        <v/>
      </c>
      <c r="V763" s="53" t="str">
        <f>IFERROR(__xludf.DUMMYFUNCTION(" IF(Account!$F763&lt;&gt;"""", SPLIT(Account!$F763, "" ""), """")"),"")</f>
        <v/>
      </c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</row>
    <row r="764">
      <c r="A764" s="215"/>
      <c r="B764" s="215"/>
      <c r="C764" s="215"/>
      <c r="D764" s="215"/>
      <c r="E764" s="215"/>
      <c r="F764" s="373"/>
      <c r="G764" s="215"/>
      <c r="H764" s="215"/>
      <c r="I764" s="215"/>
      <c r="J764" s="215"/>
      <c r="K764" s="215"/>
      <c r="L764" s="45" t="str">
        <f t="shared" si="1"/>
        <v/>
      </c>
      <c r="M764" s="46" t="str">
        <f>IFERROR(__xludf.DUMMYFUNCTION("IF(Account!$F764&lt;&gt;"""", VALUE(REGEXREPLACE($I764, ""\,"", ""."")), """")"),"")</f>
        <v/>
      </c>
      <c r="N764" s="47" t="str">
        <f>IF(Account!$F764&lt;&gt;"", DATEVALUE(MID($A764,4,3) &amp; LEFT($A764,3) &amp; RIGHT($A764,4)) + TIMEVALUE($B764), "")</f>
        <v/>
      </c>
      <c r="O764" s="48" t="str">
        <f>IF(Account!$F764&lt;&gt;"", DATEVALUE(MID($A764,4,3) &amp; LEFT($A764,3) &amp; RIGHT($A764,4)), "")</f>
        <v/>
      </c>
      <c r="P764" s="49" t="str">
        <f>IFERROR(VLOOKUP($Q764,Selection!$F:$G,2,false))</f>
        <v/>
      </c>
      <c r="Q764" s="50" t="str">
        <f>IF(AND($X764="change",$H764="EUR"),IF(AND($Z764="Crédit",$N764=$N765),$Q765,IF(AND($Z764="Débit",$N764=$N763),$Q763)),IF(OR(AND(OR($E764&lt;&gt;"",$L764=""),$M764&lt;&gt;0),$A764=""),IFERROR(VLOOKUP($E764,Selection!$E:$F,2,false)),IFERROR(VLOOKUP(SUBSTITUTE($I764,"-","",1),$K765:$Q1119,7,false),VLOOKUP($K764,$K765:$Q1119,7,false))))</f>
        <v/>
      </c>
      <c r="R764" s="49" t="str">
        <f t="shared" si="2"/>
        <v/>
      </c>
      <c r="S764" s="51" t="str">
        <f t="shared" si="3"/>
        <v/>
      </c>
      <c r="T764" s="52" t="str">
        <f t="shared" si="4"/>
        <v/>
      </c>
      <c r="U764" s="46" t="str">
        <f t="shared" si="5"/>
        <v/>
      </c>
      <c r="V764" s="53" t="str">
        <f>IFERROR(__xludf.DUMMYFUNCTION(" IF(Account!$F764&lt;&gt;"""", SPLIT(Account!$F764, "" ""), """")"),"")</f>
        <v/>
      </c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</row>
    <row r="765">
      <c r="A765" s="215"/>
      <c r="B765" s="215"/>
      <c r="C765" s="215"/>
      <c r="D765" s="215"/>
      <c r="E765" s="215"/>
      <c r="F765" s="373"/>
      <c r="G765" s="215"/>
      <c r="H765" s="215"/>
      <c r="I765" s="215"/>
      <c r="J765" s="215"/>
      <c r="K765" s="215"/>
      <c r="L765" s="45" t="str">
        <f t="shared" si="1"/>
        <v/>
      </c>
      <c r="M765" s="46" t="str">
        <f>IFERROR(__xludf.DUMMYFUNCTION("IF(Account!$F765&lt;&gt;"""", VALUE(REGEXREPLACE($I765, ""\,"", ""."")), """")"),"")</f>
        <v/>
      </c>
      <c r="N765" s="47" t="str">
        <f>IF(Account!$F765&lt;&gt;"", DATEVALUE(MID($A765,4,3) &amp; LEFT($A765,3) &amp; RIGHT($A765,4)) + TIMEVALUE($B765), "")</f>
        <v/>
      </c>
      <c r="O765" s="48" t="str">
        <f>IF(Account!$F765&lt;&gt;"", DATEVALUE(MID($A765,4,3) &amp; LEFT($A765,3) &amp; RIGHT($A765,4)), "")</f>
        <v/>
      </c>
      <c r="P765" s="49" t="str">
        <f>IFERROR(VLOOKUP($Q765,Selection!$F:$G,2,false))</f>
        <v/>
      </c>
      <c r="Q765" s="50" t="str">
        <f>IF(AND($X765="change",$H765="EUR"),IF(AND($Z765="Crédit",$N765=$N766),$Q766,IF(AND($Z765="Débit",$N765=$N764),$Q764)),IF(OR(AND(OR($E765&lt;&gt;"",$L765=""),$M765&lt;&gt;0),$A765=""),IFERROR(VLOOKUP($E765,Selection!$E:$F,2,false)),IFERROR(VLOOKUP(SUBSTITUTE($I765,"-","",1),$K766:$Q1119,7,false),VLOOKUP($K765,$K766:$Q1119,7,false))))</f>
        <v/>
      </c>
      <c r="R765" s="49" t="str">
        <f t="shared" si="2"/>
        <v/>
      </c>
      <c r="S765" s="51" t="str">
        <f t="shared" si="3"/>
        <v/>
      </c>
      <c r="T765" s="52" t="str">
        <f t="shared" si="4"/>
        <v/>
      </c>
      <c r="U765" s="46" t="str">
        <f t="shared" si="5"/>
        <v/>
      </c>
      <c r="V765" s="53" t="str">
        <f>IFERROR(__xludf.DUMMYFUNCTION(" IF(Account!$F765&lt;&gt;"""", SPLIT(Account!$F765, "" ""), """")"),"")</f>
        <v/>
      </c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</row>
    <row r="766">
      <c r="A766" s="215"/>
      <c r="B766" s="215"/>
      <c r="C766" s="215"/>
      <c r="D766" s="215"/>
      <c r="E766" s="215"/>
      <c r="F766" s="373"/>
      <c r="G766" s="215"/>
      <c r="H766" s="215"/>
      <c r="I766" s="215"/>
      <c r="J766" s="215"/>
      <c r="K766" s="215"/>
      <c r="L766" s="45" t="str">
        <f t="shared" si="1"/>
        <v/>
      </c>
      <c r="M766" s="46" t="str">
        <f>IFERROR(__xludf.DUMMYFUNCTION("IF(Account!$F766&lt;&gt;"""", VALUE(REGEXREPLACE($I766, ""\,"", ""."")), """")"),"")</f>
        <v/>
      </c>
      <c r="N766" s="47" t="str">
        <f>IF(Account!$F766&lt;&gt;"", DATEVALUE(MID($A766,4,3) &amp; LEFT($A766,3) &amp; RIGHT($A766,4)) + TIMEVALUE($B766), "")</f>
        <v/>
      </c>
      <c r="O766" s="48" t="str">
        <f>IF(Account!$F766&lt;&gt;"", DATEVALUE(MID($A766,4,3) &amp; LEFT($A766,3) &amp; RIGHT($A766,4)), "")</f>
        <v/>
      </c>
      <c r="P766" s="49" t="str">
        <f>IFERROR(VLOOKUP($Q766,Selection!$F:$G,2,false))</f>
        <v/>
      </c>
      <c r="Q766" s="50" t="str">
        <f>IF(AND($X766="change",$H766="EUR"),IF(AND($Z766="Crédit",$N766=$N767),$Q767,IF(AND($Z766="Débit",$N766=$N765),$Q765)),IF(OR(AND(OR($E766&lt;&gt;"",$L766=""),$M766&lt;&gt;0),$A766=""),IFERROR(VLOOKUP($E766,Selection!$E:$F,2,false)),IFERROR(VLOOKUP(SUBSTITUTE($I766,"-","",1),$K767:$Q1119,7,false),VLOOKUP($K766,$K767:$Q1119,7,false))))</f>
        <v/>
      </c>
      <c r="R766" s="49" t="str">
        <f t="shared" si="2"/>
        <v/>
      </c>
      <c r="S766" s="51" t="str">
        <f t="shared" si="3"/>
        <v/>
      </c>
      <c r="T766" s="52" t="str">
        <f t="shared" si="4"/>
        <v/>
      </c>
      <c r="U766" s="46" t="str">
        <f t="shared" si="5"/>
        <v/>
      </c>
      <c r="V766" s="53" t="str">
        <f>IFERROR(__xludf.DUMMYFUNCTION(" IF(Account!$F766&lt;&gt;"""", SPLIT(Account!$F766, "" ""), """")"),"")</f>
        <v/>
      </c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</row>
    <row r="767">
      <c r="A767" s="215"/>
      <c r="B767" s="215"/>
      <c r="C767" s="215"/>
      <c r="D767" s="215"/>
      <c r="E767" s="215"/>
      <c r="F767" s="373"/>
      <c r="G767" s="215"/>
      <c r="H767" s="215"/>
      <c r="I767" s="215"/>
      <c r="J767" s="215"/>
      <c r="K767" s="215"/>
      <c r="L767" s="45" t="str">
        <f t="shared" si="1"/>
        <v/>
      </c>
      <c r="M767" s="46" t="str">
        <f>IFERROR(__xludf.DUMMYFUNCTION("IF(Account!$F767&lt;&gt;"""", VALUE(REGEXREPLACE($I767, ""\,"", ""."")), """")"),"")</f>
        <v/>
      </c>
      <c r="N767" s="47" t="str">
        <f>IF(Account!$F767&lt;&gt;"", DATEVALUE(MID($A767,4,3) &amp; LEFT($A767,3) &amp; RIGHT($A767,4)) + TIMEVALUE($B767), "")</f>
        <v/>
      </c>
      <c r="O767" s="48" t="str">
        <f>IF(Account!$F767&lt;&gt;"", DATEVALUE(MID($A767,4,3) &amp; LEFT($A767,3) &amp; RIGHT($A767,4)), "")</f>
        <v/>
      </c>
      <c r="P767" s="49" t="str">
        <f>IFERROR(VLOOKUP($Q767,Selection!$F:$G,2,false))</f>
        <v/>
      </c>
      <c r="Q767" s="50" t="str">
        <f>IF(AND($X767="change",$H767="EUR"),IF(AND($Z767="Crédit",$N767=$N768),$Q768,IF(AND($Z767="Débit",$N767=$N766),$Q766)),IF(OR(AND(OR($E767&lt;&gt;"",$L767=""),$M767&lt;&gt;0),$A767=""),IFERROR(VLOOKUP($E767,Selection!$E:$F,2,false)),IFERROR(VLOOKUP(SUBSTITUTE($I767,"-","",1),$K768:$Q1119,7,false),VLOOKUP($K767,$K768:$Q1119,7,false))))</f>
        <v/>
      </c>
      <c r="R767" s="49" t="str">
        <f t="shared" si="2"/>
        <v/>
      </c>
      <c r="S767" s="51" t="str">
        <f t="shared" si="3"/>
        <v/>
      </c>
      <c r="T767" s="52" t="str">
        <f t="shared" si="4"/>
        <v/>
      </c>
      <c r="U767" s="46" t="str">
        <f t="shared" si="5"/>
        <v/>
      </c>
      <c r="V767" s="53" t="str">
        <f>IFERROR(__xludf.DUMMYFUNCTION(" IF(Account!$F767&lt;&gt;"""", SPLIT(Account!$F767, "" ""), """")"),"")</f>
        <v/>
      </c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</row>
    <row r="768">
      <c r="A768" s="215"/>
      <c r="B768" s="215"/>
      <c r="C768" s="215"/>
      <c r="D768" s="215"/>
      <c r="E768" s="215"/>
      <c r="F768" s="373"/>
      <c r="G768" s="215"/>
      <c r="H768" s="215"/>
      <c r="I768" s="215"/>
      <c r="J768" s="215"/>
      <c r="K768" s="215"/>
      <c r="L768" s="45" t="str">
        <f t="shared" si="1"/>
        <v/>
      </c>
      <c r="M768" s="46" t="str">
        <f>IFERROR(__xludf.DUMMYFUNCTION("IF(Account!$F768&lt;&gt;"""", VALUE(REGEXREPLACE($I768, ""\,"", ""."")), """")"),"")</f>
        <v/>
      </c>
      <c r="N768" s="47" t="str">
        <f>IF(Account!$F768&lt;&gt;"", DATEVALUE(MID($A768,4,3) &amp; LEFT($A768,3) &amp; RIGHT($A768,4)) + TIMEVALUE($B768), "")</f>
        <v/>
      </c>
      <c r="O768" s="48" t="str">
        <f>IF(Account!$F768&lt;&gt;"", DATEVALUE(MID($A768,4,3) &amp; LEFT($A768,3) &amp; RIGHT($A768,4)), "")</f>
        <v/>
      </c>
      <c r="P768" s="49" t="str">
        <f>IFERROR(VLOOKUP($Q768,Selection!$F:$G,2,false))</f>
        <v/>
      </c>
      <c r="Q768" s="50" t="str">
        <f>IF(AND($X768="change",$H768="EUR"),IF(AND($Z768="Crédit",$N768=$N769),$Q769,IF(AND($Z768="Débit",$N768=$N767),$Q767)),IF(OR(AND(OR($E768&lt;&gt;"",$L768=""),$M768&lt;&gt;0),$A768=""),IFERROR(VLOOKUP($E768,Selection!$E:$F,2,false)),IFERROR(VLOOKUP(SUBSTITUTE($I768,"-","",1),$K769:$Q1119,7,false),VLOOKUP($K768,$K769:$Q1119,7,false))))</f>
        <v/>
      </c>
      <c r="R768" s="49" t="str">
        <f t="shared" si="2"/>
        <v/>
      </c>
      <c r="S768" s="51" t="str">
        <f t="shared" si="3"/>
        <v/>
      </c>
      <c r="T768" s="52" t="str">
        <f t="shared" si="4"/>
        <v/>
      </c>
      <c r="U768" s="46" t="str">
        <f t="shared" si="5"/>
        <v/>
      </c>
      <c r="V768" s="53" t="str">
        <f>IFERROR(__xludf.DUMMYFUNCTION(" IF(Account!$F768&lt;&gt;"""", SPLIT(Account!$F768, "" ""), """")"),"")</f>
        <v/>
      </c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</row>
    <row r="769">
      <c r="A769" s="215"/>
      <c r="B769" s="215"/>
      <c r="C769" s="215"/>
      <c r="D769" s="215"/>
      <c r="E769" s="215"/>
      <c r="F769" s="373"/>
      <c r="G769" s="215"/>
      <c r="H769" s="215"/>
      <c r="I769" s="215"/>
      <c r="J769" s="215"/>
      <c r="K769" s="215"/>
      <c r="L769" s="45" t="str">
        <f t="shared" si="1"/>
        <v/>
      </c>
      <c r="M769" s="46" t="str">
        <f>IFERROR(__xludf.DUMMYFUNCTION("IF(Account!$F769&lt;&gt;"""", VALUE(REGEXREPLACE($I769, ""\,"", ""."")), """")"),"")</f>
        <v/>
      </c>
      <c r="N769" s="47" t="str">
        <f>IF(Account!$F769&lt;&gt;"", DATEVALUE(MID($A769,4,3) &amp; LEFT($A769,3) &amp; RIGHT($A769,4)) + TIMEVALUE($B769), "")</f>
        <v/>
      </c>
      <c r="O769" s="48" t="str">
        <f>IF(Account!$F769&lt;&gt;"", DATEVALUE(MID($A769,4,3) &amp; LEFT($A769,3) &amp; RIGHT($A769,4)), "")</f>
        <v/>
      </c>
      <c r="P769" s="49" t="str">
        <f>IFERROR(VLOOKUP($Q769,Selection!$F:$G,2,false))</f>
        <v/>
      </c>
      <c r="Q769" s="50" t="str">
        <f>IF(AND($X769="change",$H769="EUR"),IF(AND($Z769="Crédit",$N769=$N770),$Q770,IF(AND($Z769="Débit",$N769=$N768),$Q768)),IF(OR(AND(OR($E769&lt;&gt;"",$L769=""),$M769&lt;&gt;0),$A769=""),IFERROR(VLOOKUP($E769,Selection!$E:$F,2,false)),IFERROR(VLOOKUP(SUBSTITUTE($I769,"-","",1),$K770:$Q1119,7,false),VLOOKUP($K769,$K770:$Q1119,7,false))))</f>
        <v/>
      </c>
      <c r="R769" s="49" t="str">
        <f t="shared" si="2"/>
        <v/>
      </c>
      <c r="S769" s="51" t="str">
        <f t="shared" si="3"/>
        <v/>
      </c>
      <c r="T769" s="52" t="str">
        <f t="shared" si="4"/>
        <v/>
      </c>
      <c r="U769" s="46" t="str">
        <f t="shared" si="5"/>
        <v/>
      </c>
      <c r="V769" s="53" t="str">
        <f>IFERROR(__xludf.DUMMYFUNCTION(" IF(Account!$F769&lt;&gt;"""", SPLIT(Account!$F769, "" ""), """")"),"")</f>
        <v/>
      </c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</row>
    <row r="770">
      <c r="A770" s="215"/>
      <c r="B770" s="215"/>
      <c r="C770" s="215"/>
      <c r="D770" s="215"/>
      <c r="E770" s="215"/>
      <c r="F770" s="373"/>
      <c r="G770" s="215"/>
      <c r="H770" s="215"/>
      <c r="I770" s="215"/>
      <c r="J770" s="215"/>
      <c r="K770" s="215"/>
      <c r="L770" s="45" t="str">
        <f t="shared" si="1"/>
        <v/>
      </c>
      <c r="M770" s="46" t="str">
        <f>IFERROR(__xludf.DUMMYFUNCTION("IF(Account!$F770&lt;&gt;"""", VALUE(REGEXREPLACE($I770, ""\,"", ""."")), """")"),"")</f>
        <v/>
      </c>
      <c r="N770" s="47" t="str">
        <f>IF(Account!$F770&lt;&gt;"", DATEVALUE(MID($A770,4,3) &amp; LEFT($A770,3) &amp; RIGHT($A770,4)) + TIMEVALUE($B770), "")</f>
        <v/>
      </c>
      <c r="O770" s="48" t="str">
        <f>IF(Account!$F770&lt;&gt;"", DATEVALUE(MID($A770,4,3) &amp; LEFT($A770,3) &amp; RIGHT($A770,4)), "")</f>
        <v/>
      </c>
      <c r="P770" s="49" t="str">
        <f>IFERROR(VLOOKUP($Q770,Selection!$F:$G,2,false))</f>
        <v/>
      </c>
      <c r="Q770" s="50" t="str">
        <f>IF(AND($X770="change",$H770="EUR"),IF(AND($Z770="Crédit",$N770=$N771),$Q771,IF(AND($Z770="Débit",$N770=$N769),$Q769)),IF(OR(AND(OR($E770&lt;&gt;"",$L770=""),$M770&lt;&gt;0),$A770=""),IFERROR(VLOOKUP($E770,Selection!$E:$F,2,false)),IFERROR(VLOOKUP(SUBSTITUTE($I770,"-","",1),$K771:$Q1119,7,false),VLOOKUP($K770,$K771:$Q1119,7,false))))</f>
        <v/>
      </c>
      <c r="R770" s="49" t="str">
        <f t="shared" si="2"/>
        <v/>
      </c>
      <c r="S770" s="51" t="str">
        <f t="shared" si="3"/>
        <v/>
      </c>
      <c r="T770" s="52" t="str">
        <f t="shared" si="4"/>
        <v/>
      </c>
      <c r="U770" s="46" t="str">
        <f t="shared" si="5"/>
        <v/>
      </c>
      <c r="V770" s="53" t="str">
        <f>IFERROR(__xludf.DUMMYFUNCTION(" IF(Account!$F770&lt;&gt;"""", SPLIT(Account!$F770, "" ""), """")"),"")</f>
        <v/>
      </c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</row>
    <row r="771">
      <c r="A771" s="215"/>
      <c r="B771" s="215"/>
      <c r="C771" s="215"/>
      <c r="D771" s="215"/>
      <c r="E771" s="215"/>
      <c r="F771" s="373"/>
      <c r="G771" s="215"/>
      <c r="H771" s="215"/>
      <c r="I771" s="215"/>
      <c r="J771" s="215"/>
      <c r="K771" s="215"/>
      <c r="L771" s="45" t="str">
        <f t="shared" si="1"/>
        <v/>
      </c>
      <c r="M771" s="46" t="str">
        <f>IFERROR(__xludf.DUMMYFUNCTION("IF(Account!$F771&lt;&gt;"""", VALUE(REGEXREPLACE($I771, ""\,"", ""."")), """")"),"")</f>
        <v/>
      </c>
      <c r="N771" s="47" t="str">
        <f>IF(Account!$F771&lt;&gt;"", DATEVALUE(MID($A771,4,3) &amp; LEFT($A771,3) &amp; RIGHT($A771,4)) + TIMEVALUE($B771), "")</f>
        <v/>
      </c>
      <c r="O771" s="48" t="str">
        <f>IF(Account!$F771&lt;&gt;"", DATEVALUE(MID($A771,4,3) &amp; LEFT($A771,3) &amp; RIGHT($A771,4)), "")</f>
        <v/>
      </c>
      <c r="P771" s="49" t="str">
        <f>IFERROR(VLOOKUP($Q771,Selection!$F:$G,2,false))</f>
        <v/>
      </c>
      <c r="Q771" s="50" t="str">
        <f>IF(AND($X771="change",$H771="EUR"),IF(AND($Z771="Crédit",$N771=$N772),$Q772,IF(AND($Z771="Débit",$N771=$N770),$Q770)),IF(OR(AND(OR($E771&lt;&gt;"",$L771=""),$M771&lt;&gt;0),$A771=""),IFERROR(VLOOKUP($E771,Selection!$E:$F,2,false)),IFERROR(VLOOKUP(SUBSTITUTE($I771,"-","",1),$K772:$Q1119,7,false),VLOOKUP($K771,$K772:$Q1119,7,false))))</f>
        <v/>
      </c>
      <c r="R771" s="49" t="str">
        <f t="shared" si="2"/>
        <v/>
      </c>
      <c r="S771" s="51" t="str">
        <f t="shared" si="3"/>
        <v/>
      </c>
      <c r="T771" s="52" t="str">
        <f t="shared" si="4"/>
        <v/>
      </c>
      <c r="U771" s="46" t="str">
        <f t="shared" si="5"/>
        <v/>
      </c>
      <c r="V771" s="53" t="str">
        <f>IFERROR(__xludf.DUMMYFUNCTION(" IF(Account!$F771&lt;&gt;"""", SPLIT(Account!$F771, "" ""), """")"),"")</f>
        <v/>
      </c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</row>
    <row r="772">
      <c r="A772" s="215"/>
      <c r="B772" s="215"/>
      <c r="C772" s="215"/>
      <c r="D772" s="215"/>
      <c r="E772" s="215"/>
      <c r="F772" s="373"/>
      <c r="G772" s="215"/>
      <c r="H772" s="215"/>
      <c r="I772" s="215"/>
      <c r="J772" s="215"/>
      <c r="K772" s="215"/>
      <c r="L772" s="45" t="str">
        <f t="shared" si="1"/>
        <v/>
      </c>
      <c r="M772" s="46" t="str">
        <f>IFERROR(__xludf.DUMMYFUNCTION("IF(Account!$F772&lt;&gt;"""", VALUE(REGEXREPLACE($I772, ""\,"", ""."")), """")"),"")</f>
        <v/>
      </c>
      <c r="N772" s="47" t="str">
        <f>IF(Account!$F772&lt;&gt;"", DATEVALUE(MID($A772,4,3) &amp; LEFT($A772,3) &amp; RIGHT($A772,4)) + TIMEVALUE($B772), "")</f>
        <v/>
      </c>
      <c r="O772" s="48" t="str">
        <f>IF(Account!$F772&lt;&gt;"", DATEVALUE(MID($A772,4,3) &amp; LEFT($A772,3) &amp; RIGHT($A772,4)), "")</f>
        <v/>
      </c>
      <c r="P772" s="49" t="str">
        <f>IFERROR(VLOOKUP($Q772,Selection!$F:$G,2,false))</f>
        <v/>
      </c>
      <c r="Q772" s="50" t="str">
        <f>IF(AND($X772="change",$H772="EUR"),IF(AND($Z772="Crédit",$N772=$N773),$Q773,IF(AND($Z772="Débit",$N772=$N771),$Q771)),IF(OR(AND(OR($E772&lt;&gt;"",$L772=""),$M772&lt;&gt;0),$A772=""),IFERROR(VLOOKUP($E772,Selection!$E:$F,2,false)),IFERROR(VLOOKUP(SUBSTITUTE($I772,"-","",1),$K773:$Q1119,7,false),VLOOKUP($K772,$K773:$Q1119,7,false))))</f>
        <v/>
      </c>
      <c r="R772" s="49" t="str">
        <f t="shared" si="2"/>
        <v/>
      </c>
      <c r="S772" s="51" t="str">
        <f t="shared" si="3"/>
        <v/>
      </c>
      <c r="T772" s="52" t="str">
        <f t="shared" si="4"/>
        <v/>
      </c>
      <c r="U772" s="46" t="str">
        <f t="shared" si="5"/>
        <v/>
      </c>
      <c r="V772" s="53" t="str">
        <f>IFERROR(__xludf.DUMMYFUNCTION(" IF(Account!$F772&lt;&gt;"""", SPLIT(Account!$F772, "" ""), """")"),"")</f>
        <v/>
      </c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</row>
    <row r="773">
      <c r="A773" s="215"/>
      <c r="B773" s="215"/>
      <c r="C773" s="215"/>
      <c r="D773" s="215"/>
      <c r="E773" s="215"/>
      <c r="F773" s="373"/>
      <c r="G773" s="215"/>
      <c r="H773" s="215"/>
      <c r="I773" s="215"/>
      <c r="J773" s="215"/>
      <c r="K773" s="215"/>
      <c r="L773" s="45" t="str">
        <f t="shared" si="1"/>
        <v/>
      </c>
      <c r="M773" s="46" t="str">
        <f>IFERROR(__xludf.DUMMYFUNCTION("IF(Account!$F773&lt;&gt;"""", VALUE(REGEXREPLACE($I773, ""\,"", ""."")), """")"),"")</f>
        <v/>
      </c>
      <c r="N773" s="47" t="str">
        <f>IF(Account!$F773&lt;&gt;"", DATEVALUE(MID($A773,4,3) &amp; LEFT($A773,3) &amp; RIGHT($A773,4)) + TIMEVALUE($B773), "")</f>
        <v/>
      </c>
      <c r="O773" s="48" t="str">
        <f>IF(Account!$F773&lt;&gt;"", DATEVALUE(MID($A773,4,3) &amp; LEFT($A773,3) &amp; RIGHT($A773,4)), "")</f>
        <v/>
      </c>
      <c r="P773" s="49" t="str">
        <f>IFERROR(VLOOKUP($Q773,Selection!$F:$G,2,false))</f>
        <v/>
      </c>
      <c r="Q773" s="50" t="str">
        <f>IF(AND($X773="change",$H773="EUR"),IF(AND($Z773="Crédit",$N773=$N774),$Q774,IF(AND($Z773="Débit",$N773=$N772),$Q772)),IF(OR(AND(OR($E773&lt;&gt;"",$L773=""),$M773&lt;&gt;0),$A773=""),IFERROR(VLOOKUP($E773,Selection!$E:$F,2,false)),IFERROR(VLOOKUP(SUBSTITUTE($I773,"-","",1),$K774:$Q1119,7,false),VLOOKUP($K773,$K774:$Q1119,7,false))))</f>
        <v/>
      </c>
      <c r="R773" s="49" t="str">
        <f t="shared" si="2"/>
        <v/>
      </c>
      <c r="S773" s="51" t="str">
        <f t="shared" si="3"/>
        <v/>
      </c>
      <c r="T773" s="52" t="str">
        <f t="shared" si="4"/>
        <v/>
      </c>
      <c r="U773" s="46" t="str">
        <f t="shared" si="5"/>
        <v/>
      </c>
      <c r="V773" s="53" t="str">
        <f>IFERROR(__xludf.DUMMYFUNCTION(" IF(Account!$F773&lt;&gt;"""", SPLIT(Account!$F773, "" ""), """")"),"")</f>
        <v/>
      </c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</row>
    <row r="774">
      <c r="A774" s="215"/>
      <c r="B774" s="215"/>
      <c r="C774" s="215"/>
      <c r="D774" s="215"/>
      <c r="E774" s="215"/>
      <c r="F774" s="373"/>
      <c r="G774" s="215"/>
      <c r="H774" s="215"/>
      <c r="I774" s="215"/>
      <c r="J774" s="215"/>
      <c r="K774" s="215"/>
      <c r="L774" s="45" t="str">
        <f t="shared" si="1"/>
        <v/>
      </c>
      <c r="M774" s="46" t="str">
        <f>IFERROR(__xludf.DUMMYFUNCTION("IF(Account!$F774&lt;&gt;"""", VALUE(REGEXREPLACE($I774, ""\,"", ""."")), """")"),"")</f>
        <v/>
      </c>
      <c r="N774" s="47" t="str">
        <f>IF(Account!$F774&lt;&gt;"", DATEVALUE(MID($A774,4,3) &amp; LEFT($A774,3) &amp; RIGHT($A774,4)) + TIMEVALUE($B774), "")</f>
        <v/>
      </c>
      <c r="O774" s="48" t="str">
        <f>IF(Account!$F774&lt;&gt;"", DATEVALUE(MID($A774,4,3) &amp; LEFT($A774,3) &amp; RIGHT($A774,4)), "")</f>
        <v/>
      </c>
      <c r="P774" s="49" t="str">
        <f>IFERROR(VLOOKUP($Q774,Selection!$F:$G,2,false))</f>
        <v/>
      </c>
      <c r="Q774" s="50" t="str">
        <f>IF(AND($X774="change",$H774="EUR"),IF(AND($Z774="Crédit",$N774=$N775),$Q775,IF(AND($Z774="Débit",$N774=$N773),$Q773)),IF(OR(AND(OR($E774&lt;&gt;"",$L774=""),$M774&lt;&gt;0),$A774=""),IFERROR(VLOOKUP($E774,Selection!$E:$F,2,false)),IFERROR(VLOOKUP(SUBSTITUTE($I774,"-","",1),$K775:$Q1119,7,false),VLOOKUP($K774,$K775:$Q1119,7,false))))</f>
        <v/>
      </c>
      <c r="R774" s="49" t="str">
        <f t="shared" si="2"/>
        <v/>
      </c>
      <c r="S774" s="51" t="str">
        <f t="shared" si="3"/>
        <v/>
      </c>
      <c r="T774" s="52" t="str">
        <f t="shared" si="4"/>
        <v/>
      </c>
      <c r="U774" s="46" t="str">
        <f t="shared" si="5"/>
        <v/>
      </c>
      <c r="V774" s="53" t="str">
        <f>IFERROR(__xludf.DUMMYFUNCTION(" IF(Account!$F774&lt;&gt;"""", SPLIT(Account!$F774, "" ""), """")"),"")</f>
        <v/>
      </c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</row>
    <row r="775">
      <c r="A775" s="215"/>
      <c r="B775" s="215"/>
      <c r="C775" s="215"/>
      <c r="D775" s="215"/>
      <c r="E775" s="215"/>
      <c r="F775" s="373"/>
      <c r="G775" s="215"/>
      <c r="H775" s="215"/>
      <c r="I775" s="215"/>
      <c r="J775" s="215"/>
      <c r="K775" s="215"/>
      <c r="L775" s="45" t="str">
        <f t="shared" si="1"/>
        <v/>
      </c>
      <c r="M775" s="46" t="str">
        <f>IFERROR(__xludf.DUMMYFUNCTION("IF(Account!$F775&lt;&gt;"""", VALUE(REGEXREPLACE($I775, ""\,"", ""."")), """")"),"")</f>
        <v/>
      </c>
      <c r="N775" s="47" t="str">
        <f>IF(Account!$F775&lt;&gt;"", DATEVALUE(MID($A775,4,3) &amp; LEFT($A775,3) &amp; RIGHT($A775,4)) + TIMEVALUE($B775), "")</f>
        <v/>
      </c>
      <c r="O775" s="48" t="str">
        <f>IF(Account!$F775&lt;&gt;"", DATEVALUE(MID($A775,4,3) &amp; LEFT($A775,3) &amp; RIGHT($A775,4)), "")</f>
        <v/>
      </c>
      <c r="P775" s="49" t="str">
        <f>IFERROR(VLOOKUP($Q775,Selection!$F:$G,2,false))</f>
        <v/>
      </c>
      <c r="Q775" s="50" t="str">
        <f>IF(AND($X775="change",$H775="EUR"),IF(AND($Z775="Crédit",$N775=$N776),$Q776,IF(AND($Z775="Débit",$N775=$N774),$Q774)),IF(OR(AND(OR($E775&lt;&gt;"",$L775=""),$M775&lt;&gt;0),$A775=""),IFERROR(VLOOKUP($E775,Selection!$E:$F,2,false)),IFERROR(VLOOKUP(SUBSTITUTE($I775,"-","",1),$K776:$Q1119,7,false),VLOOKUP($K775,$K776:$Q1119,7,false))))</f>
        <v/>
      </c>
      <c r="R775" s="49" t="str">
        <f t="shared" si="2"/>
        <v/>
      </c>
      <c r="S775" s="51" t="str">
        <f t="shared" si="3"/>
        <v/>
      </c>
      <c r="T775" s="52" t="str">
        <f t="shared" si="4"/>
        <v/>
      </c>
      <c r="U775" s="46" t="str">
        <f t="shared" si="5"/>
        <v/>
      </c>
      <c r="V775" s="53" t="str">
        <f>IFERROR(__xludf.DUMMYFUNCTION(" IF(Account!$F775&lt;&gt;"""", SPLIT(Account!$F775, "" ""), """")"),"")</f>
        <v/>
      </c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</row>
    <row r="776">
      <c r="A776" s="215"/>
      <c r="B776" s="215"/>
      <c r="C776" s="215"/>
      <c r="D776" s="215"/>
      <c r="E776" s="215"/>
      <c r="F776" s="373"/>
      <c r="G776" s="215"/>
      <c r="H776" s="215"/>
      <c r="I776" s="215"/>
      <c r="J776" s="215"/>
      <c r="K776" s="215"/>
      <c r="L776" s="45" t="str">
        <f t="shared" si="1"/>
        <v/>
      </c>
      <c r="M776" s="46" t="str">
        <f>IFERROR(__xludf.DUMMYFUNCTION("IF(Account!$F776&lt;&gt;"""", VALUE(REGEXREPLACE($I776, ""\,"", ""."")), """")"),"")</f>
        <v/>
      </c>
      <c r="N776" s="47" t="str">
        <f>IF(Account!$F776&lt;&gt;"", DATEVALUE(MID($A776,4,3) &amp; LEFT($A776,3) &amp; RIGHT($A776,4)) + TIMEVALUE($B776), "")</f>
        <v/>
      </c>
      <c r="O776" s="48" t="str">
        <f>IF(Account!$F776&lt;&gt;"", DATEVALUE(MID($A776,4,3) &amp; LEFT($A776,3) &amp; RIGHT($A776,4)), "")</f>
        <v/>
      </c>
      <c r="P776" s="49" t="str">
        <f>IFERROR(VLOOKUP($Q776,Selection!$F:$G,2,false))</f>
        <v/>
      </c>
      <c r="Q776" s="50" t="str">
        <f>IF(AND($X776="change",$H776="EUR"),IF(AND($Z776="Crédit",$N776=$N777),$Q777,IF(AND($Z776="Débit",$N776=$N775),$Q775)),IF(OR(AND(OR($E776&lt;&gt;"",$L776=""),$M776&lt;&gt;0),$A776=""),IFERROR(VLOOKUP($E776,Selection!$E:$F,2,false)),IFERROR(VLOOKUP(SUBSTITUTE($I776,"-","",1),$K777:$Q1119,7,false),VLOOKUP($K776,$K777:$Q1119,7,false))))</f>
        <v/>
      </c>
      <c r="R776" s="49" t="str">
        <f t="shared" si="2"/>
        <v/>
      </c>
      <c r="S776" s="51" t="str">
        <f t="shared" si="3"/>
        <v/>
      </c>
      <c r="T776" s="52" t="str">
        <f t="shared" si="4"/>
        <v/>
      </c>
      <c r="U776" s="46" t="str">
        <f t="shared" si="5"/>
        <v/>
      </c>
      <c r="V776" s="53" t="str">
        <f>IFERROR(__xludf.DUMMYFUNCTION(" IF(Account!$F776&lt;&gt;"""", SPLIT(Account!$F776, "" ""), """")"),"")</f>
        <v/>
      </c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</row>
    <row r="777">
      <c r="A777" s="215"/>
      <c r="B777" s="215"/>
      <c r="C777" s="215"/>
      <c r="D777" s="215"/>
      <c r="E777" s="215"/>
      <c r="F777" s="373"/>
      <c r="G777" s="215"/>
      <c r="H777" s="215"/>
      <c r="I777" s="215"/>
      <c r="J777" s="215"/>
      <c r="K777" s="215"/>
      <c r="L777" s="45" t="str">
        <f t="shared" si="1"/>
        <v/>
      </c>
      <c r="M777" s="46" t="str">
        <f>IFERROR(__xludf.DUMMYFUNCTION("IF(Account!$F777&lt;&gt;"""", VALUE(REGEXREPLACE($I777, ""\,"", ""."")), """")"),"")</f>
        <v/>
      </c>
      <c r="N777" s="47" t="str">
        <f>IF(Account!$F777&lt;&gt;"", DATEVALUE(MID($A777,4,3) &amp; LEFT($A777,3) &amp; RIGHT($A777,4)) + TIMEVALUE($B777), "")</f>
        <v/>
      </c>
      <c r="O777" s="48" t="str">
        <f>IF(Account!$F777&lt;&gt;"", DATEVALUE(MID($A777,4,3) &amp; LEFT($A777,3) &amp; RIGHT($A777,4)), "")</f>
        <v/>
      </c>
      <c r="P777" s="49" t="str">
        <f>IFERROR(VLOOKUP($Q777,Selection!$F:$G,2,false))</f>
        <v/>
      </c>
      <c r="Q777" s="50" t="str">
        <f>IF(AND($X777="change",$H777="EUR"),IF(AND($Z777="Crédit",$N777=$N778),$Q778,IF(AND($Z777="Débit",$N777=$N776),$Q776)),IF(OR(AND(OR($E777&lt;&gt;"",$L777=""),$M777&lt;&gt;0),$A777=""),IFERROR(VLOOKUP($E777,Selection!$E:$F,2,false)),IFERROR(VLOOKUP(SUBSTITUTE($I777,"-","",1),$K778:$Q1119,7,false),VLOOKUP($K777,$K778:$Q1119,7,false))))</f>
        <v/>
      </c>
      <c r="R777" s="49" t="str">
        <f t="shared" si="2"/>
        <v/>
      </c>
      <c r="S777" s="51" t="str">
        <f t="shared" si="3"/>
        <v/>
      </c>
      <c r="T777" s="52" t="str">
        <f t="shared" si="4"/>
        <v/>
      </c>
      <c r="U777" s="46" t="str">
        <f t="shared" si="5"/>
        <v/>
      </c>
      <c r="V777" s="53" t="str">
        <f>IFERROR(__xludf.DUMMYFUNCTION(" IF(Account!$F777&lt;&gt;"""", SPLIT(Account!$F777, "" ""), """")"),"")</f>
        <v/>
      </c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</row>
    <row r="778">
      <c r="A778" s="215"/>
      <c r="B778" s="215"/>
      <c r="C778" s="215"/>
      <c r="D778" s="215"/>
      <c r="E778" s="215"/>
      <c r="F778" s="373"/>
      <c r="G778" s="215"/>
      <c r="H778" s="215"/>
      <c r="I778" s="215"/>
      <c r="J778" s="215"/>
      <c r="K778" s="215"/>
      <c r="L778" s="45" t="str">
        <f t="shared" si="1"/>
        <v/>
      </c>
      <c r="M778" s="46" t="str">
        <f>IFERROR(__xludf.DUMMYFUNCTION("IF(Account!$F778&lt;&gt;"""", VALUE(REGEXREPLACE($I778, ""\,"", ""."")), """")"),"")</f>
        <v/>
      </c>
      <c r="N778" s="47" t="str">
        <f>IF(Account!$F778&lt;&gt;"", DATEVALUE(MID($A778,4,3) &amp; LEFT($A778,3) &amp; RIGHT($A778,4)) + TIMEVALUE($B778), "")</f>
        <v/>
      </c>
      <c r="O778" s="48" t="str">
        <f>IF(Account!$F778&lt;&gt;"", DATEVALUE(MID($A778,4,3) &amp; LEFT($A778,3) &amp; RIGHT($A778,4)), "")</f>
        <v/>
      </c>
      <c r="P778" s="49" t="str">
        <f>IFERROR(VLOOKUP($Q778,Selection!$F:$G,2,false))</f>
        <v/>
      </c>
      <c r="Q778" s="50" t="str">
        <f>IF(AND($X778="change",$H778="EUR"),IF(AND($Z778="Crédit",$N778=$N779),$Q779,IF(AND($Z778="Débit",$N778=$N777),$Q777)),IF(OR(AND(OR($E778&lt;&gt;"",$L778=""),$M778&lt;&gt;0),$A778=""),IFERROR(VLOOKUP($E778,Selection!$E:$F,2,false)),IFERROR(VLOOKUP(SUBSTITUTE($I778,"-","",1),$K779:$Q1119,7,false),VLOOKUP($K778,$K779:$Q1119,7,false))))</f>
        <v/>
      </c>
      <c r="R778" s="49" t="str">
        <f t="shared" si="2"/>
        <v/>
      </c>
      <c r="S778" s="51" t="str">
        <f t="shared" si="3"/>
        <v/>
      </c>
      <c r="T778" s="52" t="str">
        <f t="shared" si="4"/>
        <v/>
      </c>
      <c r="U778" s="46" t="str">
        <f t="shared" si="5"/>
        <v/>
      </c>
      <c r="V778" s="53" t="str">
        <f>IFERROR(__xludf.DUMMYFUNCTION(" IF(Account!$F778&lt;&gt;"""", SPLIT(Account!$F778, "" ""), """")"),"")</f>
        <v/>
      </c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</row>
    <row r="779">
      <c r="A779" s="215"/>
      <c r="B779" s="215"/>
      <c r="C779" s="215"/>
      <c r="D779" s="215"/>
      <c r="E779" s="215"/>
      <c r="F779" s="373"/>
      <c r="G779" s="215"/>
      <c r="H779" s="215"/>
      <c r="I779" s="215"/>
      <c r="J779" s="215"/>
      <c r="K779" s="215"/>
      <c r="L779" s="45" t="str">
        <f t="shared" si="1"/>
        <v/>
      </c>
      <c r="M779" s="46" t="str">
        <f>IFERROR(__xludf.DUMMYFUNCTION("IF(Account!$F779&lt;&gt;"""", VALUE(REGEXREPLACE($I779, ""\,"", ""."")), """")"),"")</f>
        <v/>
      </c>
      <c r="N779" s="47" t="str">
        <f>IF(Account!$F779&lt;&gt;"", DATEVALUE(MID($A779,4,3) &amp; LEFT($A779,3) &amp; RIGHT($A779,4)) + TIMEVALUE($B779), "")</f>
        <v/>
      </c>
      <c r="O779" s="48" t="str">
        <f>IF(Account!$F779&lt;&gt;"", DATEVALUE(MID($A779,4,3) &amp; LEFT($A779,3) &amp; RIGHT($A779,4)), "")</f>
        <v/>
      </c>
      <c r="P779" s="49" t="str">
        <f>IFERROR(VLOOKUP($Q779,Selection!$F:$G,2,false))</f>
        <v/>
      </c>
      <c r="Q779" s="50" t="str">
        <f>IF(AND($X779="change",$H779="EUR"),IF(AND($Z779="Crédit",$N779=$N780),$Q780,IF(AND($Z779="Débit",$N779=$N778),$Q778)),IF(OR(AND(OR($E779&lt;&gt;"",$L779=""),$M779&lt;&gt;0),$A779=""),IFERROR(VLOOKUP($E779,Selection!$E:$F,2,false)),IFERROR(VLOOKUP(SUBSTITUTE($I779,"-","",1),$K780:$Q1119,7,false),VLOOKUP($K779,$K780:$Q1119,7,false))))</f>
        <v/>
      </c>
      <c r="R779" s="49" t="str">
        <f t="shared" si="2"/>
        <v/>
      </c>
      <c r="S779" s="51" t="str">
        <f t="shared" si="3"/>
        <v/>
      </c>
      <c r="T779" s="52" t="str">
        <f t="shared" si="4"/>
        <v/>
      </c>
      <c r="U779" s="46" t="str">
        <f t="shared" si="5"/>
        <v/>
      </c>
      <c r="V779" s="53" t="str">
        <f>IFERROR(__xludf.DUMMYFUNCTION(" IF(Account!$F779&lt;&gt;"""", SPLIT(Account!$F779, "" ""), """")"),"")</f>
        <v/>
      </c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</row>
    <row r="780">
      <c r="A780" s="215"/>
      <c r="B780" s="215"/>
      <c r="C780" s="215"/>
      <c r="D780" s="215"/>
      <c r="E780" s="215"/>
      <c r="F780" s="373"/>
      <c r="G780" s="215"/>
      <c r="H780" s="215"/>
      <c r="I780" s="215"/>
      <c r="J780" s="215"/>
      <c r="K780" s="215"/>
      <c r="L780" s="45" t="str">
        <f t="shared" si="1"/>
        <v/>
      </c>
      <c r="M780" s="46" t="str">
        <f>IFERROR(__xludf.DUMMYFUNCTION("IF(Account!$F780&lt;&gt;"""", VALUE(REGEXREPLACE($I780, ""\,"", ""."")), """")"),"")</f>
        <v/>
      </c>
      <c r="N780" s="47" t="str">
        <f>IF(Account!$F780&lt;&gt;"", DATEVALUE(MID($A780,4,3) &amp; LEFT($A780,3) &amp; RIGHT($A780,4)) + TIMEVALUE($B780), "")</f>
        <v/>
      </c>
      <c r="O780" s="48" t="str">
        <f>IF(Account!$F780&lt;&gt;"", DATEVALUE(MID($A780,4,3) &amp; LEFT($A780,3) &amp; RIGHT($A780,4)), "")</f>
        <v/>
      </c>
      <c r="P780" s="49" t="str">
        <f>IFERROR(VLOOKUP($Q780,Selection!$F:$G,2,false))</f>
        <v/>
      </c>
      <c r="Q780" s="50" t="str">
        <f>IF(AND($X780="change",$H780="EUR"),IF(AND($Z780="Crédit",$N780=$N781),$Q781,IF(AND($Z780="Débit",$N780=$N779),$Q779)),IF(OR(AND(OR($E780&lt;&gt;"",$L780=""),$M780&lt;&gt;0),$A780=""),IFERROR(VLOOKUP($E780,Selection!$E:$F,2,false)),IFERROR(VLOOKUP(SUBSTITUTE($I780,"-","",1),$K781:$Q1119,7,false),VLOOKUP($K780,$K781:$Q1119,7,false))))</f>
        <v/>
      </c>
      <c r="R780" s="49" t="str">
        <f t="shared" si="2"/>
        <v/>
      </c>
      <c r="S780" s="51" t="str">
        <f t="shared" si="3"/>
        <v/>
      </c>
      <c r="T780" s="52" t="str">
        <f t="shared" si="4"/>
        <v/>
      </c>
      <c r="U780" s="46" t="str">
        <f t="shared" si="5"/>
        <v/>
      </c>
      <c r="V780" s="53" t="str">
        <f>IFERROR(__xludf.DUMMYFUNCTION(" IF(Account!$F780&lt;&gt;"""", SPLIT(Account!$F780, "" ""), """")"),"")</f>
        <v/>
      </c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</row>
    <row r="781">
      <c r="A781" s="215"/>
      <c r="B781" s="215"/>
      <c r="C781" s="215"/>
      <c r="D781" s="215"/>
      <c r="E781" s="215"/>
      <c r="F781" s="373"/>
      <c r="G781" s="215"/>
      <c r="H781" s="215"/>
      <c r="I781" s="215"/>
      <c r="J781" s="215"/>
      <c r="K781" s="215"/>
      <c r="L781" s="45" t="str">
        <f t="shared" si="1"/>
        <v/>
      </c>
      <c r="M781" s="46" t="str">
        <f>IFERROR(__xludf.DUMMYFUNCTION("IF(Account!$F781&lt;&gt;"""", VALUE(REGEXREPLACE($I781, ""\,"", ""."")), """")"),"")</f>
        <v/>
      </c>
      <c r="N781" s="47" t="str">
        <f>IF(Account!$F781&lt;&gt;"", DATEVALUE(MID($A781,4,3) &amp; LEFT($A781,3) &amp; RIGHT($A781,4)) + TIMEVALUE($B781), "")</f>
        <v/>
      </c>
      <c r="O781" s="48" t="str">
        <f>IF(Account!$F781&lt;&gt;"", DATEVALUE(MID($A781,4,3) &amp; LEFT($A781,3) &amp; RIGHT($A781,4)), "")</f>
        <v/>
      </c>
      <c r="P781" s="49" t="str">
        <f>IFERROR(VLOOKUP($Q781,Selection!$F:$G,2,false))</f>
        <v/>
      </c>
      <c r="Q781" s="50" t="str">
        <f>IF(AND($X781="change",$H781="EUR"),IF(AND($Z781="Crédit",$N781=$N782),$Q782,IF(AND($Z781="Débit",$N781=$N780),$Q780)),IF(OR(AND(OR($E781&lt;&gt;"",$L781=""),$M781&lt;&gt;0),$A781=""),IFERROR(VLOOKUP($E781,Selection!$E:$F,2,false)),IFERROR(VLOOKUP(SUBSTITUTE($I781,"-","",1),$K782:$Q1119,7,false),VLOOKUP($K781,$K782:$Q1119,7,false))))</f>
        <v/>
      </c>
      <c r="R781" s="49" t="str">
        <f t="shared" si="2"/>
        <v/>
      </c>
      <c r="S781" s="51" t="str">
        <f t="shared" si="3"/>
        <v/>
      </c>
      <c r="T781" s="52" t="str">
        <f t="shared" si="4"/>
        <v/>
      </c>
      <c r="U781" s="46" t="str">
        <f t="shared" si="5"/>
        <v/>
      </c>
      <c r="V781" s="53" t="str">
        <f>IFERROR(__xludf.DUMMYFUNCTION(" IF(Account!$F781&lt;&gt;"""", SPLIT(Account!$F781, "" ""), """")"),"")</f>
        <v/>
      </c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</row>
    <row r="782">
      <c r="A782" s="215"/>
      <c r="B782" s="215"/>
      <c r="C782" s="215"/>
      <c r="D782" s="215"/>
      <c r="E782" s="215"/>
      <c r="F782" s="373"/>
      <c r="G782" s="215"/>
      <c r="H782" s="215"/>
      <c r="I782" s="215"/>
      <c r="J782" s="215"/>
      <c r="K782" s="215"/>
      <c r="L782" s="45" t="str">
        <f t="shared" si="1"/>
        <v/>
      </c>
      <c r="M782" s="46" t="str">
        <f>IFERROR(__xludf.DUMMYFUNCTION("IF(Account!$F782&lt;&gt;"""", VALUE(REGEXREPLACE($I782, ""\,"", ""."")), """")"),"")</f>
        <v/>
      </c>
      <c r="N782" s="47" t="str">
        <f>IF(Account!$F782&lt;&gt;"", DATEVALUE(MID($A782,4,3) &amp; LEFT($A782,3) &amp; RIGHT($A782,4)) + TIMEVALUE($B782), "")</f>
        <v/>
      </c>
      <c r="O782" s="48" t="str">
        <f>IF(Account!$F782&lt;&gt;"", DATEVALUE(MID($A782,4,3) &amp; LEFT($A782,3) &amp; RIGHT($A782,4)), "")</f>
        <v/>
      </c>
      <c r="P782" s="49" t="str">
        <f>IFERROR(VLOOKUP($Q782,Selection!$F:$G,2,false))</f>
        <v/>
      </c>
      <c r="Q782" s="50" t="str">
        <f>IF(AND($X782="change",$H782="EUR"),IF(AND($Z782="Crédit",$N782=$N783),$Q783,IF(AND($Z782="Débit",$N782=$N781),$Q781)),IF(OR(AND(OR($E782&lt;&gt;"",$L782=""),$M782&lt;&gt;0),$A782=""),IFERROR(VLOOKUP($E782,Selection!$E:$F,2,false)),IFERROR(VLOOKUP(SUBSTITUTE($I782,"-","",1),$K783:$Q1119,7,false),VLOOKUP($K782,$K783:$Q1119,7,false))))</f>
        <v/>
      </c>
      <c r="R782" s="49" t="str">
        <f t="shared" si="2"/>
        <v/>
      </c>
      <c r="S782" s="51" t="str">
        <f t="shared" si="3"/>
        <v/>
      </c>
      <c r="T782" s="52" t="str">
        <f t="shared" si="4"/>
        <v/>
      </c>
      <c r="U782" s="46" t="str">
        <f t="shared" si="5"/>
        <v/>
      </c>
      <c r="V782" s="53" t="str">
        <f>IFERROR(__xludf.DUMMYFUNCTION(" IF(Account!$F782&lt;&gt;"""", SPLIT(Account!$F782, "" ""), """")"),"")</f>
        <v/>
      </c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</row>
    <row r="783">
      <c r="A783" s="215"/>
      <c r="B783" s="215"/>
      <c r="C783" s="215"/>
      <c r="D783" s="215"/>
      <c r="E783" s="215"/>
      <c r="F783" s="373"/>
      <c r="G783" s="215"/>
      <c r="H783" s="215"/>
      <c r="I783" s="215"/>
      <c r="J783" s="215"/>
      <c r="K783" s="215"/>
      <c r="L783" s="45" t="str">
        <f t="shared" si="1"/>
        <v/>
      </c>
      <c r="M783" s="46" t="str">
        <f>IFERROR(__xludf.DUMMYFUNCTION("IF(Account!$F783&lt;&gt;"""", VALUE(REGEXREPLACE($I783, ""\,"", ""."")), """")"),"")</f>
        <v/>
      </c>
      <c r="N783" s="47" t="str">
        <f>IF(Account!$F783&lt;&gt;"", DATEVALUE(MID($A783,4,3) &amp; LEFT($A783,3) &amp; RIGHT($A783,4)) + TIMEVALUE($B783), "")</f>
        <v/>
      </c>
      <c r="O783" s="48" t="str">
        <f>IF(Account!$F783&lt;&gt;"", DATEVALUE(MID($A783,4,3) &amp; LEFT($A783,3) &amp; RIGHT($A783,4)), "")</f>
        <v/>
      </c>
      <c r="P783" s="49" t="str">
        <f>IFERROR(VLOOKUP($Q783,Selection!$F:$G,2,false))</f>
        <v/>
      </c>
      <c r="Q783" s="50" t="str">
        <f>IF(AND($X783="change",$H783="EUR"),IF(AND($Z783="Crédit",$N783=$N784),$Q784,IF(AND($Z783="Débit",$N783=$N782),$Q782)),IF(OR(AND(OR($E783&lt;&gt;"",$L783=""),$M783&lt;&gt;0),$A783=""),IFERROR(VLOOKUP($E783,Selection!$E:$F,2,false)),IFERROR(VLOOKUP(SUBSTITUTE($I783,"-","",1),$K784:$Q1119,7,false),VLOOKUP($K783,$K784:$Q1119,7,false))))</f>
        <v/>
      </c>
      <c r="R783" s="49" t="str">
        <f t="shared" si="2"/>
        <v/>
      </c>
      <c r="S783" s="51" t="str">
        <f t="shared" si="3"/>
        <v/>
      </c>
      <c r="T783" s="52" t="str">
        <f t="shared" si="4"/>
        <v/>
      </c>
      <c r="U783" s="46" t="str">
        <f t="shared" si="5"/>
        <v/>
      </c>
      <c r="V783" s="53" t="str">
        <f>IFERROR(__xludf.DUMMYFUNCTION(" IF(Account!$F783&lt;&gt;"""", SPLIT(Account!$F783, "" ""), """")"),"")</f>
        <v/>
      </c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</row>
    <row r="784">
      <c r="A784" s="215"/>
      <c r="B784" s="215"/>
      <c r="C784" s="215"/>
      <c r="D784" s="215"/>
      <c r="E784" s="215"/>
      <c r="F784" s="373"/>
      <c r="G784" s="215"/>
      <c r="H784" s="215"/>
      <c r="I784" s="215"/>
      <c r="J784" s="215"/>
      <c r="K784" s="215"/>
      <c r="L784" s="45" t="str">
        <f t="shared" si="1"/>
        <v/>
      </c>
      <c r="M784" s="46" t="str">
        <f>IFERROR(__xludf.DUMMYFUNCTION("IF(Account!$F784&lt;&gt;"""", VALUE(REGEXREPLACE($I784, ""\,"", ""."")), """")"),"")</f>
        <v/>
      </c>
      <c r="N784" s="47" t="str">
        <f>IF(Account!$F784&lt;&gt;"", DATEVALUE(MID($A784,4,3) &amp; LEFT($A784,3) &amp; RIGHT($A784,4)) + TIMEVALUE($B784), "")</f>
        <v/>
      </c>
      <c r="O784" s="48" t="str">
        <f>IF(Account!$F784&lt;&gt;"", DATEVALUE(MID($A784,4,3) &amp; LEFT($A784,3) &amp; RIGHT($A784,4)), "")</f>
        <v/>
      </c>
      <c r="P784" s="49" t="str">
        <f>IFERROR(VLOOKUP($Q784,Selection!$F:$G,2,false))</f>
        <v/>
      </c>
      <c r="Q784" s="50" t="str">
        <f>IF(AND($X784="change",$H784="EUR"),IF(AND($Z784="Crédit",$N784=$N785),$Q785,IF(AND($Z784="Débit",$N784=$N783),$Q783)),IF(OR(AND(OR($E784&lt;&gt;"",$L784=""),$M784&lt;&gt;0),$A784=""),IFERROR(VLOOKUP($E784,Selection!$E:$F,2,false)),IFERROR(VLOOKUP(SUBSTITUTE($I784,"-","",1),$K785:$Q1119,7,false),VLOOKUP($K784,$K785:$Q1119,7,false))))</f>
        <v/>
      </c>
      <c r="R784" s="49" t="str">
        <f t="shared" si="2"/>
        <v/>
      </c>
      <c r="S784" s="51" t="str">
        <f t="shared" si="3"/>
        <v/>
      </c>
      <c r="T784" s="52" t="str">
        <f t="shared" si="4"/>
        <v/>
      </c>
      <c r="U784" s="46" t="str">
        <f t="shared" si="5"/>
        <v/>
      </c>
      <c r="V784" s="53" t="str">
        <f>IFERROR(__xludf.DUMMYFUNCTION(" IF(Account!$F784&lt;&gt;"""", SPLIT(Account!$F784, "" ""), """")"),"")</f>
        <v/>
      </c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</row>
    <row r="785">
      <c r="A785" s="215"/>
      <c r="B785" s="215"/>
      <c r="C785" s="215"/>
      <c r="D785" s="215"/>
      <c r="E785" s="215"/>
      <c r="F785" s="373"/>
      <c r="G785" s="215"/>
      <c r="H785" s="215"/>
      <c r="I785" s="215"/>
      <c r="J785" s="215"/>
      <c r="K785" s="215"/>
      <c r="L785" s="45" t="str">
        <f t="shared" si="1"/>
        <v/>
      </c>
      <c r="M785" s="46" t="str">
        <f>IFERROR(__xludf.DUMMYFUNCTION("IF(Account!$F785&lt;&gt;"""", VALUE(REGEXREPLACE($I785, ""\,"", ""."")), """")"),"")</f>
        <v/>
      </c>
      <c r="N785" s="47" t="str">
        <f>IF(Account!$F785&lt;&gt;"", DATEVALUE(MID($A785,4,3) &amp; LEFT($A785,3) &amp; RIGHT($A785,4)) + TIMEVALUE($B785), "")</f>
        <v/>
      </c>
      <c r="O785" s="48" t="str">
        <f>IF(Account!$F785&lt;&gt;"", DATEVALUE(MID($A785,4,3) &amp; LEFT($A785,3) &amp; RIGHT($A785,4)), "")</f>
        <v/>
      </c>
      <c r="P785" s="49" t="str">
        <f>IFERROR(VLOOKUP($Q785,Selection!$F:$G,2,false))</f>
        <v/>
      </c>
      <c r="Q785" s="50" t="str">
        <f>IF(AND($X785="change",$H785="EUR"),IF(AND($Z785="Crédit",$N785=$N786),$Q786,IF(AND($Z785="Débit",$N785=$N784),$Q784)),IF(OR(AND(OR($E785&lt;&gt;"",$L785=""),$M785&lt;&gt;0),$A785=""),IFERROR(VLOOKUP($E785,Selection!$E:$F,2,false)),IFERROR(VLOOKUP(SUBSTITUTE($I785,"-","",1),$K786:$Q1119,7,false),VLOOKUP($K785,$K786:$Q1119,7,false))))</f>
        <v/>
      </c>
      <c r="R785" s="49" t="str">
        <f t="shared" si="2"/>
        <v/>
      </c>
      <c r="S785" s="51" t="str">
        <f t="shared" si="3"/>
        <v/>
      </c>
      <c r="T785" s="52" t="str">
        <f t="shared" si="4"/>
        <v/>
      </c>
      <c r="U785" s="46" t="str">
        <f t="shared" si="5"/>
        <v/>
      </c>
      <c r="V785" s="53" t="str">
        <f>IFERROR(__xludf.DUMMYFUNCTION(" IF(Account!$F785&lt;&gt;"""", SPLIT(Account!$F785, "" ""), """")"),"")</f>
        <v/>
      </c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</row>
    <row r="786">
      <c r="A786" s="215"/>
      <c r="B786" s="215"/>
      <c r="C786" s="215"/>
      <c r="D786" s="215"/>
      <c r="E786" s="215"/>
      <c r="F786" s="373"/>
      <c r="G786" s="215"/>
      <c r="H786" s="215"/>
      <c r="I786" s="215"/>
      <c r="J786" s="215"/>
      <c r="K786" s="215"/>
      <c r="L786" s="45" t="str">
        <f t="shared" si="1"/>
        <v/>
      </c>
      <c r="M786" s="46" t="str">
        <f>IFERROR(__xludf.DUMMYFUNCTION("IF(Account!$F786&lt;&gt;"""", VALUE(REGEXREPLACE($I786, ""\,"", ""."")), """")"),"")</f>
        <v/>
      </c>
      <c r="N786" s="47" t="str">
        <f>IF(Account!$F786&lt;&gt;"", DATEVALUE(MID($A786,4,3) &amp; LEFT($A786,3) &amp; RIGHT($A786,4)) + TIMEVALUE($B786), "")</f>
        <v/>
      </c>
      <c r="O786" s="48" t="str">
        <f>IF(Account!$F786&lt;&gt;"", DATEVALUE(MID($A786,4,3) &amp; LEFT($A786,3) &amp; RIGHT($A786,4)), "")</f>
        <v/>
      </c>
      <c r="P786" s="49" t="str">
        <f>IFERROR(VLOOKUP($Q786,Selection!$F:$G,2,false))</f>
        <v/>
      </c>
      <c r="Q786" s="50" t="str">
        <f>IF(AND($X786="change",$H786="EUR"),IF(AND($Z786="Crédit",$N786=$N787),$Q787,IF(AND($Z786="Débit",$N786=$N785),$Q785)),IF(OR(AND(OR($E786&lt;&gt;"",$L786=""),$M786&lt;&gt;0),$A786=""),IFERROR(VLOOKUP($E786,Selection!$E:$F,2,false)),IFERROR(VLOOKUP(SUBSTITUTE($I786,"-","",1),$K787:$Q1119,7,false),VLOOKUP($K786,$K787:$Q1119,7,false))))</f>
        <v/>
      </c>
      <c r="R786" s="49" t="str">
        <f t="shared" si="2"/>
        <v/>
      </c>
      <c r="S786" s="51" t="str">
        <f t="shared" si="3"/>
        <v/>
      </c>
      <c r="T786" s="52" t="str">
        <f t="shared" si="4"/>
        <v/>
      </c>
      <c r="U786" s="46" t="str">
        <f t="shared" si="5"/>
        <v/>
      </c>
      <c r="V786" s="53" t="str">
        <f>IFERROR(__xludf.DUMMYFUNCTION(" IF(Account!$F786&lt;&gt;"""", SPLIT(Account!$F786, "" ""), """")"),"")</f>
        <v/>
      </c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</row>
    <row r="787">
      <c r="A787" s="215"/>
      <c r="B787" s="215"/>
      <c r="C787" s="215"/>
      <c r="D787" s="215"/>
      <c r="E787" s="215"/>
      <c r="F787" s="373"/>
      <c r="G787" s="215"/>
      <c r="H787" s="215"/>
      <c r="I787" s="215"/>
      <c r="J787" s="215"/>
      <c r="K787" s="215"/>
      <c r="L787" s="45" t="str">
        <f t="shared" si="1"/>
        <v/>
      </c>
      <c r="M787" s="46" t="str">
        <f>IFERROR(__xludf.DUMMYFUNCTION("IF(Account!$F787&lt;&gt;"""", VALUE(REGEXREPLACE($I787, ""\,"", ""."")), """")"),"")</f>
        <v/>
      </c>
      <c r="N787" s="47" t="str">
        <f>IF(Account!$F787&lt;&gt;"", DATEVALUE(MID($A787,4,3) &amp; LEFT($A787,3) &amp; RIGHT($A787,4)) + TIMEVALUE($B787), "")</f>
        <v/>
      </c>
      <c r="O787" s="48" t="str">
        <f>IF(Account!$F787&lt;&gt;"", DATEVALUE(MID($A787,4,3) &amp; LEFT($A787,3) &amp; RIGHT($A787,4)), "")</f>
        <v/>
      </c>
      <c r="P787" s="49" t="str">
        <f>IFERROR(VLOOKUP($Q787,Selection!$F:$G,2,false))</f>
        <v/>
      </c>
      <c r="Q787" s="50" t="str">
        <f>IF(AND($X787="change",$H787="EUR"),IF(AND($Z787="Crédit",$N787=$N788),$Q788,IF(AND($Z787="Débit",$N787=$N786),$Q786)),IF(OR(AND(OR($E787&lt;&gt;"",$L787=""),$M787&lt;&gt;0),$A787=""),IFERROR(VLOOKUP($E787,Selection!$E:$F,2,false)),IFERROR(VLOOKUP(SUBSTITUTE($I787,"-","",1),$K788:$Q1119,7,false),VLOOKUP($K787,$K788:$Q1119,7,false))))</f>
        <v/>
      </c>
      <c r="R787" s="49" t="str">
        <f t="shared" si="2"/>
        <v/>
      </c>
      <c r="S787" s="51" t="str">
        <f t="shared" si="3"/>
        <v/>
      </c>
      <c r="T787" s="52" t="str">
        <f t="shared" si="4"/>
        <v/>
      </c>
      <c r="U787" s="46" t="str">
        <f t="shared" si="5"/>
        <v/>
      </c>
      <c r="V787" s="53" t="str">
        <f>IFERROR(__xludf.DUMMYFUNCTION(" IF(Account!$F787&lt;&gt;"""", SPLIT(Account!$F787, "" ""), """")"),"")</f>
        <v/>
      </c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</row>
    <row r="788">
      <c r="A788" s="215"/>
      <c r="B788" s="215"/>
      <c r="C788" s="215"/>
      <c r="D788" s="215"/>
      <c r="E788" s="215"/>
      <c r="F788" s="373"/>
      <c r="G788" s="215"/>
      <c r="H788" s="215"/>
      <c r="I788" s="215"/>
      <c r="J788" s="215"/>
      <c r="K788" s="215"/>
      <c r="L788" s="45" t="str">
        <f t="shared" si="1"/>
        <v/>
      </c>
      <c r="M788" s="46" t="str">
        <f>IFERROR(__xludf.DUMMYFUNCTION("IF(Account!$F788&lt;&gt;"""", VALUE(REGEXREPLACE($I788, ""\,"", ""."")), """")"),"")</f>
        <v/>
      </c>
      <c r="N788" s="47" t="str">
        <f>IF(Account!$F788&lt;&gt;"", DATEVALUE(MID($A788,4,3) &amp; LEFT($A788,3) &amp; RIGHT($A788,4)) + TIMEVALUE($B788), "")</f>
        <v/>
      </c>
      <c r="O788" s="48" t="str">
        <f>IF(Account!$F788&lt;&gt;"", DATEVALUE(MID($A788,4,3) &amp; LEFT($A788,3) &amp; RIGHT($A788,4)), "")</f>
        <v/>
      </c>
      <c r="P788" s="49" t="str">
        <f>IFERROR(VLOOKUP($Q788,Selection!$F:$G,2,false))</f>
        <v/>
      </c>
      <c r="Q788" s="50" t="str">
        <f>IF(AND($X788="change",$H788="EUR"),IF(AND($Z788="Crédit",$N788=$N789),$Q789,IF(AND($Z788="Débit",$N788=$N787),$Q787)),IF(OR(AND(OR($E788&lt;&gt;"",$L788=""),$M788&lt;&gt;0),$A788=""),IFERROR(VLOOKUP($E788,Selection!$E:$F,2,false)),IFERROR(VLOOKUP(SUBSTITUTE($I788,"-","",1),$K789:$Q1119,7,false),VLOOKUP($K788,$K789:$Q1119,7,false))))</f>
        <v/>
      </c>
      <c r="R788" s="49" t="str">
        <f t="shared" si="2"/>
        <v/>
      </c>
      <c r="S788" s="51" t="str">
        <f t="shared" si="3"/>
        <v/>
      </c>
      <c r="T788" s="52" t="str">
        <f t="shared" si="4"/>
        <v/>
      </c>
      <c r="U788" s="46" t="str">
        <f t="shared" si="5"/>
        <v/>
      </c>
      <c r="V788" s="53" t="str">
        <f>IFERROR(__xludf.DUMMYFUNCTION(" IF(Account!$F788&lt;&gt;"""", SPLIT(Account!$F788, "" ""), """")"),"")</f>
        <v/>
      </c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</row>
    <row r="789">
      <c r="A789" s="215"/>
      <c r="B789" s="215"/>
      <c r="C789" s="215"/>
      <c r="D789" s="215"/>
      <c r="E789" s="215"/>
      <c r="F789" s="373"/>
      <c r="G789" s="215"/>
      <c r="H789" s="215"/>
      <c r="I789" s="215"/>
      <c r="J789" s="215"/>
      <c r="K789" s="215"/>
      <c r="L789" s="45" t="str">
        <f t="shared" si="1"/>
        <v/>
      </c>
      <c r="M789" s="46" t="str">
        <f>IFERROR(__xludf.DUMMYFUNCTION("IF(Account!$F789&lt;&gt;"""", VALUE(REGEXREPLACE($I789, ""\,"", ""."")), """")"),"")</f>
        <v/>
      </c>
      <c r="N789" s="47" t="str">
        <f>IF(Account!$F789&lt;&gt;"", DATEVALUE(MID($A789,4,3) &amp; LEFT($A789,3) &amp; RIGHT($A789,4)) + TIMEVALUE($B789), "")</f>
        <v/>
      </c>
      <c r="O789" s="48" t="str">
        <f>IF(Account!$F789&lt;&gt;"", DATEVALUE(MID($A789,4,3) &amp; LEFT($A789,3) &amp; RIGHT($A789,4)), "")</f>
        <v/>
      </c>
      <c r="P789" s="49" t="str">
        <f>IFERROR(VLOOKUP($Q789,Selection!$F:$G,2,false))</f>
        <v/>
      </c>
      <c r="Q789" s="50" t="str">
        <f>IF(AND($X789="change",$H789="EUR"),IF(AND($Z789="Crédit",$N789=$N790),$Q790,IF(AND($Z789="Débit",$N789=$N788),$Q788)),IF(OR(AND(OR($E789&lt;&gt;"",$L789=""),$M789&lt;&gt;0),$A789=""),IFERROR(VLOOKUP($E789,Selection!$E:$F,2,false)),IFERROR(VLOOKUP(SUBSTITUTE($I789,"-","",1),$K790:$Q1119,7,false),VLOOKUP($K789,$K790:$Q1119,7,false))))</f>
        <v/>
      </c>
      <c r="R789" s="49" t="str">
        <f t="shared" si="2"/>
        <v/>
      </c>
      <c r="S789" s="51" t="str">
        <f t="shared" si="3"/>
        <v/>
      </c>
      <c r="T789" s="52" t="str">
        <f t="shared" si="4"/>
        <v/>
      </c>
      <c r="U789" s="46" t="str">
        <f t="shared" si="5"/>
        <v/>
      </c>
      <c r="V789" s="53" t="str">
        <f>IFERROR(__xludf.DUMMYFUNCTION(" IF(Account!$F789&lt;&gt;"""", SPLIT(Account!$F789, "" ""), """")"),"")</f>
        <v/>
      </c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</row>
    <row r="790">
      <c r="A790" s="215"/>
      <c r="B790" s="215"/>
      <c r="C790" s="215"/>
      <c r="D790" s="215"/>
      <c r="E790" s="215"/>
      <c r="F790" s="373"/>
      <c r="G790" s="215"/>
      <c r="H790" s="215"/>
      <c r="I790" s="215"/>
      <c r="J790" s="215"/>
      <c r="K790" s="215"/>
      <c r="L790" s="45" t="str">
        <f t="shared" si="1"/>
        <v/>
      </c>
      <c r="M790" s="46" t="str">
        <f>IFERROR(__xludf.DUMMYFUNCTION("IF(Account!$F790&lt;&gt;"""", VALUE(REGEXREPLACE($I790, ""\,"", ""."")), """")"),"")</f>
        <v/>
      </c>
      <c r="N790" s="47" t="str">
        <f>IF(Account!$F790&lt;&gt;"", DATEVALUE(MID($A790,4,3) &amp; LEFT($A790,3) &amp; RIGHT($A790,4)) + TIMEVALUE($B790), "")</f>
        <v/>
      </c>
      <c r="O790" s="48" t="str">
        <f>IF(Account!$F790&lt;&gt;"", DATEVALUE(MID($A790,4,3) &amp; LEFT($A790,3) &amp; RIGHT($A790,4)), "")</f>
        <v/>
      </c>
      <c r="P790" s="49" t="str">
        <f>IFERROR(VLOOKUP($Q790,Selection!$F:$G,2,false))</f>
        <v/>
      </c>
      <c r="Q790" s="50" t="str">
        <f>IF(AND($X790="change",$H790="EUR"),IF(AND($Z790="Crédit",$N790=$N791),$Q791,IF(AND($Z790="Débit",$N790=$N789),$Q789)),IF(OR(AND(OR($E790&lt;&gt;"",$L790=""),$M790&lt;&gt;0),$A790=""),IFERROR(VLOOKUP($E790,Selection!$E:$F,2,false)),IFERROR(VLOOKUP(SUBSTITUTE($I790,"-","",1),$K791:$Q1119,7,false),VLOOKUP($K790,$K791:$Q1119,7,false))))</f>
        <v/>
      </c>
      <c r="R790" s="49" t="str">
        <f t="shared" si="2"/>
        <v/>
      </c>
      <c r="S790" s="51" t="str">
        <f t="shared" si="3"/>
        <v/>
      </c>
      <c r="T790" s="52" t="str">
        <f t="shared" si="4"/>
        <v/>
      </c>
      <c r="U790" s="46" t="str">
        <f t="shared" si="5"/>
        <v/>
      </c>
      <c r="V790" s="53" t="str">
        <f>IFERROR(__xludf.DUMMYFUNCTION(" IF(Account!$F790&lt;&gt;"""", SPLIT(Account!$F790, "" ""), """")"),"")</f>
        <v/>
      </c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</row>
    <row r="791">
      <c r="A791" s="215"/>
      <c r="B791" s="215"/>
      <c r="C791" s="215"/>
      <c r="D791" s="215"/>
      <c r="E791" s="215"/>
      <c r="F791" s="373"/>
      <c r="G791" s="215"/>
      <c r="H791" s="215"/>
      <c r="I791" s="215"/>
      <c r="J791" s="215"/>
      <c r="K791" s="215"/>
      <c r="L791" s="45" t="str">
        <f t="shared" si="1"/>
        <v/>
      </c>
      <c r="M791" s="46" t="str">
        <f>IFERROR(__xludf.DUMMYFUNCTION("IF(Account!$F791&lt;&gt;"""", VALUE(REGEXREPLACE($I791, ""\,"", ""."")), """")"),"")</f>
        <v/>
      </c>
      <c r="N791" s="47" t="str">
        <f>IF(Account!$F791&lt;&gt;"", DATEVALUE(MID($A791,4,3) &amp; LEFT($A791,3) &amp; RIGHT($A791,4)) + TIMEVALUE($B791), "")</f>
        <v/>
      </c>
      <c r="O791" s="48" t="str">
        <f>IF(Account!$F791&lt;&gt;"", DATEVALUE(MID($A791,4,3) &amp; LEFT($A791,3) &amp; RIGHT($A791,4)), "")</f>
        <v/>
      </c>
      <c r="P791" s="49" t="str">
        <f>IFERROR(VLOOKUP($Q791,Selection!$F:$G,2,false))</f>
        <v/>
      </c>
      <c r="Q791" s="50" t="str">
        <f>IF(AND($X791="change",$H791="EUR"),IF(AND($Z791="Crédit",$N791=$N792),$Q792,IF(AND($Z791="Débit",$N791=$N790),$Q790)),IF(OR(AND(OR($E791&lt;&gt;"",$L791=""),$M791&lt;&gt;0),$A791=""),IFERROR(VLOOKUP($E791,Selection!$E:$F,2,false)),IFERROR(VLOOKUP(SUBSTITUTE($I791,"-","",1),$K792:$Q1119,7,false),VLOOKUP($K791,$K792:$Q1119,7,false))))</f>
        <v/>
      </c>
      <c r="R791" s="49" t="str">
        <f t="shared" si="2"/>
        <v/>
      </c>
      <c r="S791" s="51" t="str">
        <f t="shared" si="3"/>
        <v/>
      </c>
      <c r="T791" s="52" t="str">
        <f t="shared" si="4"/>
        <v/>
      </c>
      <c r="U791" s="46" t="str">
        <f t="shared" si="5"/>
        <v/>
      </c>
      <c r="V791" s="53" t="str">
        <f>IFERROR(__xludf.DUMMYFUNCTION(" IF(Account!$F791&lt;&gt;"""", SPLIT(Account!$F791, "" ""), """")"),"")</f>
        <v/>
      </c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</row>
    <row r="792">
      <c r="A792" s="215"/>
      <c r="B792" s="215"/>
      <c r="C792" s="215"/>
      <c r="D792" s="215"/>
      <c r="E792" s="215"/>
      <c r="F792" s="373"/>
      <c r="G792" s="215"/>
      <c r="H792" s="215"/>
      <c r="I792" s="215"/>
      <c r="J792" s="215"/>
      <c r="K792" s="215"/>
      <c r="L792" s="45" t="str">
        <f t="shared" si="1"/>
        <v/>
      </c>
      <c r="M792" s="46" t="str">
        <f>IFERROR(__xludf.DUMMYFUNCTION("IF(Account!$F792&lt;&gt;"""", VALUE(REGEXREPLACE($I792, ""\,"", ""."")), """")"),"")</f>
        <v/>
      </c>
      <c r="N792" s="47" t="str">
        <f>IF(Account!$F792&lt;&gt;"", DATEVALUE(MID($A792,4,3) &amp; LEFT($A792,3) &amp; RIGHT($A792,4)) + TIMEVALUE($B792), "")</f>
        <v/>
      </c>
      <c r="O792" s="48" t="str">
        <f>IF(Account!$F792&lt;&gt;"", DATEVALUE(MID($A792,4,3) &amp; LEFT($A792,3) &amp; RIGHT($A792,4)), "")</f>
        <v/>
      </c>
      <c r="P792" s="49" t="str">
        <f>IFERROR(VLOOKUP($Q792,Selection!$F:$G,2,false))</f>
        <v/>
      </c>
      <c r="Q792" s="50" t="str">
        <f>IF(AND($X792="change",$H792="EUR"),IF(AND($Z792="Crédit",$N792=$N793),$Q793,IF(AND($Z792="Débit",$N792=$N791),$Q791)),IF(OR(AND(OR($E792&lt;&gt;"",$L792=""),$M792&lt;&gt;0),$A792=""),IFERROR(VLOOKUP($E792,Selection!$E:$F,2,false)),IFERROR(VLOOKUP(SUBSTITUTE($I792,"-","",1),$K793:$Q1119,7,false),VLOOKUP($K792,$K793:$Q1119,7,false))))</f>
        <v/>
      </c>
      <c r="R792" s="49" t="str">
        <f t="shared" si="2"/>
        <v/>
      </c>
      <c r="S792" s="51" t="str">
        <f t="shared" si="3"/>
        <v/>
      </c>
      <c r="T792" s="52" t="str">
        <f t="shared" si="4"/>
        <v/>
      </c>
      <c r="U792" s="46" t="str">
        <f t="shared" si="5"/>
        <v/>
      </c>
      <c r="V792" s="53" t="str">
        <f>IFERROR(__xludf.DUMMYFUNCTION(" IF(Account!$F792&lt;&gt;"""", SPLIT(Account!$F792, "" ""), """")"),"")</f>
        <v/>
      </c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</row>
    <row r="793">
      <c r="A793" s="215"/>
      <c r="B793" s="215"/>
      <c r="C793" s="215"/>
      <c r="D793" s="215"/>
      <c r="E793" s="215"/>
      <c r="F793" s="373"/>
      <c r="G793" s="215"/>
      <c r="H793" s="215"/>
      <c r="I793" s="215"/>
      <c r="J793" s="215"/>
      <c r="K793" s="215"/>
      <c r="L793" s="45" t="str">
        <f t="shared" si="1"/>
        <v/>
      </c>
      <c r="M793" s="46" t="str">
        <f>IFERROR(__xludf.DUMMYFUNCTION("IF(Account!$F793&lt;&gt;"""", VALUE(REGEXREPLACE($I793, ""\,"", ""."")), """")"),"")</f>
        <v/>
      </c>
      <c r="N793" s="47" t="str">
        <f>IF(Account!$F793&lt;&gt;"", DATEVALUE(MID($A793,4,3) &amp; LEFT($A793,3) &amp; RIGHT($A793,4)) + TIMEVALUE($B793), "")</f>
        <v/>
      </c>
      <c r="O793" s="48" t="str">
        <f>IF(Account!$F793&lt;&gt;"", DATEVALUE(MID($A793,4,3) &amp; LEFT($A793,3) &amp; RIGHT($A793,4)), "")</f>
        <v/>
      </c>
      <c r="P793" s="49" t="str">
        <f>IFERROR(VLOOKUP($Q793,Selection!$F:$G,2,false))</f>
        <v/>
      </c>
      <c r="Q793" s="50" t="str">
        <f>IF(AND($X793="change",$H793="EUR"),IF(AND($Z793="Crédit",$N793=$N794),$Q794,IF(AND($Z793="Débit",$N793=$N792),$Q792)),IF(OR(AND(OR($E793&lt;&gt;"",$L793=""),$M793&lt;&gt;0),$A793=""),IFERROR(VLOOKUP($E793,Selection!$E:$F,2,false)),IFERROR(VLOOKUP(SUBSTITUTE($I793,"-","",1),$K794:$Q1119,7,false),VLOOKUP($K793,$K794:$Q1119,7,false))))</f>
        <v/>
      </c>
      <c r="R793" s="49" t="str">
        <f t="shared" si="2"/>
        <v/>
      </c>
      <c r="S793" s="51" t="str">
        <f t="shared" si="3"/>
        <v/>
      </c>
      <c r="T793" s="52" t="str">
        <f t="shared" si="4"/>
        <v/>
      </c>
      <c r="U793" s="46" t="str">
        <f t="shared" si="5"/>
        <v/>
      </c>
      <c r="V793" s="53" t="str">
        <f>IFERROR(__xludf.DUMMYFUNCTION(" IF(Account!$F793&lt;&gt;"""", SPLIT(Account!$F793, "" ""), """")"),"")</f>
        <v/>
      </c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</row>
    <row r="794">
      <c r="A794" s="215"/>
      <c r="B794" s="215"/>
      <c r="C794" s="215"/>
      <c r="D794" s="215"/>
      <c r="E794" s="215"/>
      <c r="F794" s="373"/>
      <c r="G794" s="215"/>
      <c r="H794" s="215"/>
      <c r="I794" s="215"/>
      <c r="J794" s="215"/>
      <c r="K794" s="215"/>
      <c r="L794" s="45" t="str">
        <f t="shared" si="1"/>
        <v/>
      </c>
      <c r="M794" s="46" t="str">
        <f>IFERROR(__xludf.DUMMYFUNCTION("IF(Account!$F794&lt;&gt;"""", VALUE(REGEXREPLACE($I794, ""\,"", ""."")), """")"),"")</f>
        <v/>
      </c>
      <c r="N794" s="47" t="str">
        <f>IF(Account!$F794&lt;&gt;"", DATEVALUE(MID($A794,4,3) &amp; LEFT($A794,3) &amp; RIGHT($A794,4)) + TIMEVALUE($B794), "")</f>
        <v/>
      </c>
      <c r="O794" s="48" t="str">
        <f>IF(Account!$F794&lt;&gt;"", DATEVALUE(MID($A794,4,3) &amp; LEFT($A794,3) &amp; RIGHT($A794,4)), "")</f>
        <v/>
      </c>
      <c r="P794" s="49" t="str">
        <f>IFERROR(VLOOKUP($Q794,Selection!$F:$G,2,false))</f>
        <v/>
      </c>
      <c r="Q794" s="50" t="str">
        <f>IF(AND($X794="change",$H794="EUR"),IF(AND($Z794="Crédit",$N794=$N795),$Q795,IF(AND($Z794="Débit",$N794=$N793),$Q793)),IF(OR(AND(OR($E794&lt;&gt;"",$L794=""),$M794&lt;&gt;0),$A794=""),IFERROR(VLOOKUP($E794,Selection!$E:$F,2,false)),IFERROR(VLOOKUP(SUBSTITUTE($I794,"-","",1),$K795:$Q1119,7,false),VLOOKUP($K794,$K795:$Q1119,7,false))))</f>
        <v/>
      </c>
      <c r="R794" s="49" t="str">
        <f t="shared" si="2"/>
        <v/>
      </c>
      <c r="S794" s="51" t="str">
        <f t="shared" si="3"/>
        <v/>
      </c>
      <c r="T794" s="52" t="str">
        <f t="shared" si="4"/>
        <v/>
      </c>
      <c r="U794" s="46" t="str">
        <f t="shared" si="5"/>
        <v/>
      </c>
      <c r="V794" s="53" t="str">
        <f>IFERROR(__xludf.DUMMYFUNCTION(" IF(Account!$F794&lt;&gt;"""", SPLIT(Account!$F794, "" ""), """")"),"")</f>
        <v/>
      </c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</row>
    <row r="795">
      <c r="A795" s="215"/>
      <c r="B795" s="215"/>
      <c r="C795" s="215"/>
      <c r="D795" s="215"/>
      <c r="E795" s="215"/>
      <c r="F795" s="373"/>
      <c r="G795" s="215"/>
      <c r="H795" s="215"/>
      <c r="I795" s="215"/>
      <c r="J795" s="215"/>
      <c r="K795" s="215"/>
      <c r="L795" s="45" t="str">
        <f t="shared" si="1"/>
        <v/>
      </c>
      <c r="M795" s="46" t="str">
        <f>IFERROR(__xludf.DUMMYFUNCTION("IF(Account!$F795&lt;&gt;"""", VALUE(REGEXREPLACE($I795, ""\,"", ""."")), """")"),"")</f>
        <v/>
      </c>
      <c r="N795" s="47" t="str">
        <f>IF(Account!$F795&lt;&gt;"", DATEVALUE(MID($A795,4,3) &amp; LEFT($A795,3) &amp; RIGHT($A795,4)) + TIMEVALUE($B795), "")</f>
        <v/>
      </c>
      <c r="O795" s="48" t="str">
        <f>IF(Account!$F795&lt;&gt;"", DATEVALUE(MID($A795,4,3) &amp; LEFT($A795,3) &amp; RIGHT($A795,4)), "")</f>
        <v/>
      </c>
      <c r="P795" s="49" t="str">
        <f>IFERROR(VLOOKUP($Q795,Selection!$F:$G,2,false))</f>
        <v/>
      </c>
      <c r="Q795" s="50" t="str">
        <f>IF(AND($X795="change",$H795="EUR"),IF(AND($Z795="Crédit",$N795=$N796),$Q796,IF(AND($Z795="Débit",$N795=$N794),$Q794)),IF(OR(AND(OR($E795&lt;&gt;"",$L795=""),$M795&lt;&gt;0),$A795=""),IFERROR(VLOOKUP($E795,Selection!$E:$F,2,false)),IFERROR(VLOOKUP(SUBSTITUTE($I795,"-","",1),$K796:$Q1119,7,false),VLOOKUP($K795,$K796:$Q1119,7,false))))</f>
        <v/>
      </c>
      <c r="R795" s="49" t="str">
        <f t="shared" si="2"/>
        <v/>
      </c>
      <c r="S795" s="51" t="str">
        <f t="shared" si="3"/>
        <v/>
      </c>
      <c r="T795" s="52" t="str">
        <f t="shared" si="4"/>
        <v/>
      </c>
      <c r="U795" s="46" t="str">
        <f t="shared" si="5"/>
        <v/>
      </c>
      <c r="V795" s="53" t="str">
        <f>IFERROR(__xludf.DUMMYFUNCTION(" IF(Account!$F795&lt;&gt;"""", SPLIT(Account!$F795, "" ""), """")"),"")</f>
        <v/>
      </c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</row>
    <row r="796">
      <c r="A796" s="215"/>
      <c r="B796" s="215"/>
      <c r="C796" s="215"/>
      <c r="D796" s="215"/>
      <c r="E796" s="215"/>
      <c r="F796" s="373"/>
      <c r="G796" s="215"/>
      <c r="H796" s="215"/>
      <c r="I796" s="215"/>
      <c r="J796" s="215"/>
      <c r="K796" s="215"/>
      <c r="L796" s="45" t="str">
        <f t="shared" si="1"/>
        <v/>
      </c>
      <c r="M796" s="46" t="str">
        <f>IFERROR(__xludf.DUMMYFUNCTION("IF(Account!$F796&lt;&gt;"""", VALUE(REGEXREPLACE($I796, ""\,"", ""."")), """")"),"")</f>
        <v/>
      </c>
      <c r="N796" s="47" t="str">
        <f>IF(Account!$F796&lt;&gt;"", DATEVALUE(MID($A796,4,3) &amp; LEFT($A796,3) &amp; RIGHT($A796,4)) + TIMEVALUE($B796), "")</f>
        <v/>
      </c>
      <c r="O796" s="48" t="str">
        <f>IF(Account!$F796&lt;&gt;"", DATEVALUE(MID($A796,4,3) &amp; LEFT($A796,3) &amp; RIGHT($A796,4)), "")</f>
        <v/>
      </c>
      <c r="P796" s="49" t="str">
        <f>IFERROR(VLOOKUP($Q796,Selection!$F:$G,2,false))</f>
        <v/>
      </c>
      <c r="Q796" s="50" t="str">
        <f>IF(AND($X796="change",$H796="EUR"),IF(AND($Z796="Crédit",$N796=$N797),$Q797,IF(AND($Z796="Débit",$N796=$N795),$Q795)),IF(OR(AND(OR($E796&lt;&gt;"",$L796=""),$M796&lt;&gt;0),$A796=""),IFERROR(VLOOKUP($E796,Selection!$E:$F,2,false)),IFERROR(VLOOKUP(SUBSTITUTE($I796,"-","",1),$K797:$Q1119,7,false),VLOOKUP($K796,$K797:$Q1119,7,false))))</f>
        <v/>
      </c>
      <c r="R796" s="49" t="str">
        <f t="shared" si="2"/>
        <v/>
      </c>
      <c r="S796" s="51" t="str">
        <f t="shared" si="3"/>
        <v/>
      </c>
      <c r="T796" s="52" t="str">
        <f t="shared" si="4"/>
        <v/>
      </c>
      <c r="U796" s="46" t="str">
        <f t="shared" si="5"/>
        <v/>
      </c>
      <c r="V796" s="53" t="str">
        <f>IFERROR(__xludf.DUMMYFUNCTION(" IF(Account!$F796&lt;&gt;"""", SPLIT(Account!$F796, "" ""), """")"),"")</f>
        <v/>
      </c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</row>
    <row r="797">
      <c r="A797" s="215"/>
      <c r="B797" s="215"/>
      <c r="C797" s="215"/>
      <c r="D797" s="215"/>
      <c r="E797" s="215"/>
      <c r="F797" s="373"/>
      <c r="G797" s="215"/>
      <c r="H797" s="215"/>
      <c r="I797" s="215"/>
      <c r="J797" s="215"/>
      <c r="K797" s="215"/>
      <c r="L797" s="45" t="str">
        <f t="shared" si="1"/>
        <v/>
      </c>
      <c r="M797" s="46" t="str">
        <f>IFERROR(__xludf.DUMMYFUNCTION("IF(Account!$F797&lt;&gt;"""", VALUE(REGEXREPLACE($I797, ""\,"", ""."")), """")"),"")</f>
        <v/>
      </c>
      <c r="N797" s="47" t="str">
        <f>IF(Account!$F797&lt;&gt;"", DATEVALUE(MID($A797,4,3) &amp; LEFT($A797,3) &amp; RIGHT($A797,4)) + TIMEVALUE($B797), "")</f>
        <v/>
      </c>
      <c r="O797" s="48" t="str">
        <f>IF(Account!$F797&lt;&gt;"", DATEVALUE(MID($A797,4,3) &amp; LEFT($A797,3) &amp; RIGHT($A797,4)), "")</f>
        <v/>
      </c>
      <c r="P797" s="49" t="str">
        <f>IFERROR(VLOOKUP($Q797,Selection!$F:$G,2,false))</f>
        <v/>
      </c>
      <c r="Q797" s="50" t="str">
        <f>IF(AND($X797="change",$H797="EUR"),IF(AND($Z797="Crédit",$N797=$N798),$Q798,IF(AND($Z797="Débit",$N797=$N796),$Q796)),IF(OR(AND(OR($E797&lt;&gt;"",$L797=""),$M797&lt;&gt;0),$A797=""),IFERROR(VLOOKUP($E797,Selection!$E:$F,2,false)),IFERROR(VLOOKUP(SUBSTITUTE($I797,"-","",1),$K798:$Q1119,7,false),VLOOKUP($K797,$K798:$Q1119,7,false))))</f>
        <v/>
      </c>
      <c r="R797" s="49" t="str">
        <f t="shared" si="2"/>
        <v/>
      </c>
      <c r="S797" s="51" t="str">
        <f t="shared" si="3"/>
        <v/>
      </c>
      <c r="T797" s="52" t="str">
        <f t="shared" si="4"/>
        <v/>
      </c>
      <c r="U797" s="46" t="str">
        <f t="shared" si="5"/>
        <v/>
      </c>
      <c r="V797" s="53" t="str">
        <f>IFERROR(__xludf.DUMMYFUNCTION(" IF(Account!$F797&lt;&gt;"""", SPLIT(Account!$F797, "" ""), """")"),"")</f>
        <v/>
      </c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</row>
    <row r="798">
      <c r="A798" s="215"/>
      <c r="B798" s="215"/>
      <c r="C798" s="215"/>
      <c r="D798" s="215"/>
      <c r="E798" s="215"/>
      <c r="F798" s="373"/>
      <c r="G798" s="215"/>
      <c r="H798" s="215"/>
      <c r="I798" s="215"/>
      <c r="J798" s="215"/>
      <c r="K798" s="215"/>
      <c r="L798" s="45" t="str">
        <f t="shared" si="1"/>
        <v/>
      </c>
      <c r="M798" s="46" t="str">
        <f>IFERROR(__xludf.DUMMYFUNCTION("IF(Account!$F798&lt;&gt;"""", VALUE(REGEXREPLACE($I798, ""\,"", ""."")), """")"),"")</f>
        <v/>
      </c>
      <c r="N798" s="47" t="str">
        <f>IF(Account!$F798&lt;&gt;"", DATEVALUE(MID($A798,4,3) &amp; LEFT($A798,3) &amp; RIGHT($A798,4)) + TIMEVALUE($B798), "")</f>
        <v/>
      </c>
      <c r="O798" s="48" t="str">
        <f>IF(Account!$F798&lt;&gt;"", DATEVALUE(MID($A798,4,3) &amp; LEFT($A798,3) &amp; RIGHT($A798,4)), "")</f>
        <v/>
      </c>
      <c r="P798" s="49" t="str">
        <f>IFERROR(VLOOKUP($Q798,Selection!$F:$G,2,false))</f>
        <v/>
      </c>
      <c r="Q798" s="50" t="str">
        <f>IF(AND($X798="change",$H798="EUR"),IF(AND($Z798="Crédit",$N798=$N799),$Q799,IF(AND($Z798="Débit",$N798=$N797),$Q797)),IF(OR(AND(OR($E798&lt;&gt;"",$L798=""),$M798&lt;&gt;0),$A798=""),IFERROR(VLOOKUP($E798,Selection!$E:$F,2,false)),IFERROR(VLOOKUP(SUBSTITUTE($I798,"-","",1),$K799:$Q1119,7,false),VLOOKUP($K798,$K799:$Q1119,7,false))))</f>
        <v/>
      </c>
      <c r="R798" s="49" t="str">
        <f t="shared" si="2"/>
        <v/>
      </c>
      <c r="S798" s="51" t="str">
        <f t="shared" si="3"/>
        <v/>
      </c>
      <c r="T798" s="52" t="str">
        <f t="shared" si="4"/>
        <v/>
      </c>
      <c r="U798" s="46" t="str">
        <f t="shared" si="5"/>
        <v/>
      </c>
      <c r="V798" s="53" t="str">
        <f>IFERROR(__xludf.DUMMYFUNCTION(" IF(Account!$F798&lt;&gt;"""", SPLIT(Account!$F798, "" ""), """")"),"")</f>
        <v/>
      </c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</row>
    <row r="799">
      <c r="A799" s="215"/>
      <c r="B799" s="215"/>
      <c r="C799" s="215"/>
      <c r="D799" s="215"/>
      <c r="E799" s="215"/>
      <c r="F799" s="373"/>
      <c r="G799" s="215"/>
      <c r="H799" s="215"/>
      <c r="I799" s="215"/>
      <c r="J799" s="215"/>
      <c r="K799" s="215"/>
      <c r="L799" s="45" t="str">
        <f t="shared" si="1"/>
        <v/>
      </c>
      <c r="M799" s="46" t="str">
        <f>IFERROR(__xludf.DUMMYFUNCTION("IF(Account!$F799&lt;&gt;"""", VALUE(REGEXREPLACE($I799, ""\,"", ""."")), """")"),"")</f>
        <v/>
      </c>
      <c r="N799" s="47" t="str">
        <f>IF(Account!$F799&lt;&gt;"", DATEVALUE(MID($A799,4,3) &amp; LEFT($A799,3) &amp; RIGHT($A799,4)) + TIMEVALUE($B799), "")</f>
        <v/>
      </c>
      <c r="O799" s="48" t="str">
        <f>IF(Account!$F799&lt;&gt;"", DATEVALUE(MID($A799,4,3) &amp; LEFT($A799,3) &amp; RIGHT($A799,4)), "")</f>
        <v/>
      </c>
      <c r="P799" s="49" t="str">
        <f>IFERROR(VLOOKUP($Q799,Selection!$F:$G,2,false))</f>
        <v/>
      </c>
      <c r="Q799" s="50" t="str">
        <f>IF(AND($X799="change",$H799="EUR"),IF(AND($Z799="Crédit",$N799=$N800),$Q800,IF(AND($Z799="Débit",$N799=$N798),$Q798)),IF(OR(AND(OR($E799&lt;&gt;"",$L799=""),$M799&lt;&gt;0),$A799=""),IFERROR(VLOOKUP($E799,Selection!$E:$F,2,false)),IFERROR(VLOOKUP(SUBSTITUTE($I799,"-","",1),$K800:$Q1119,7,false),VLOOKUP($K799,$K800:$Q1119,7,false))))</f>
        <v/>
      </c>
      <c r="R799" s="49" t="str">
        <f t="shared" si="2"/>
        <v/>
      </c>
      <c r="S799" s="51" t="str">
        <f t="shared" si="3"/>
        <v/>
      </c>
      <c r="T799" s="52" t="str">
        <f t="shared" si="4"/>
        <v/>
      </c>
      <c r="U799" s="46" t="str">
        <f t="shared" si="5"/>
        <v/>
      </c>
      <c r="V799" s="53" t="str">
        <f>IFERROR(__xludf.DUMMYFUNCTION(" IF(Account!$F799&lt;&gt;"""", SPLIT(Account!$F799, "" ""), """")"),"")</f>
        <v/>
      </c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</row>
    <row r="800">
      <c r="A800" s="215"/>
      <c r="B800" s="215"/>
      <c r="C800" s="215"/>
      <c r="D800" s="215"/>
      <c r="E800" s="215"/>
      <c r="F800" s="373"/>
      <c r="G800" s="215"/>
      <c r="H800" s="215"/>
      <c r="I800" s="215"/>
      <c r="J800" s="215"/>
      <c r="K800" s="215"/>
      <c r="L800" s="45" t="str">
        <f t="shared" si="1"/>
        <v/>
      </c>
      <c r="M800" s="46" t="str">
        <f>IFERROR(__xludf.DUMMYFUNCTION("IF(Account!$F800&lt;&gt;"""", VALUE(REGEXREPLACE($I800, ""\,"", ""."")), """")"),"")</f>
        <v/>
      </c>
      <c r="N800" s="47" t="str">
        <f>IF(Account!$F800&lt;&gt;"", DATEVALUE(MID($A800,4,3) &amp; LEFT($A800,3) &amp; RIGHT($A800,4)) + TIMEVALUE($B800), "")</f>
        <v/>
      </c>
      <c r="O800" s="48" t="str">
        <f>IF(Account!$F800&lt;&gt;"", DATEVALUE(MID($A800,4,3) &amp; LEFT($A800,3) &amp; RIGHT($A800,4)), "")</f>
        <v/>
      </c>
      <c r="P800" s="49" t="str">
        <f>IFERROR(VLOOKUP($Q800,Selection!$F:$G,2,false))</f>
        <v/>
      </c>
      <c r="Q800" s="50" t="str">
        <f>IF(AND($X800="change",$H800="EUR"),IF(AND($Z800="Crédit",$N800=$N801),$Q801,IF(AND($Z800="Débit",$N800=$N799),$Q799)),IF(OR(AND(OR($E800&lt;&gt;"",$L800=""),$M800&lt;&gt;0),$A800=""),IFERROR(VLOOKUP($E800,Selection!$E:$F,2,false)),IFERROR(VLOOKUP(SUBSTITUTE($I800,"-","",1),$K801:$Q1119,7,false),VLOOKUP($K800,$K801:$Q1119,7,false))))</f>
        <v/>
      </c>
      <c r="R800" s="49" t="str">
        <f t="shared" si="2"/>
        <v/>
      </c>
      <c r="S800" s="51" t="str">
        <f t="shared" si="3"/>
        <v/>
      </c>
      <c r="T800" s="52" t="str">
        <f t="shared" si="4"/>
        <v/>
      </c>
      <c r="U800" s="46" t="str">
        <f t="shared" si="5"/>
        <v/>
      </c>
      <c r="V800" s="53" t="str">
        <f>IFERROR(__xludf.DUMMYFUNCTION(" IF(Account!$F800&lt;&gt;"""", SPLIT(Account!$F800, "" ""), """")"),"")</f>
        <v/>
      </c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</row>
    <row r="801">
      <c r="A801" s="215"/>
      <c r="B801" s="215"/>
      <c r="C801" s="215"/>
      <c r="D801" s="215"/>
      <c r="E801" s="215"/>
      <c r="F801" s="373"/>
      <c r="G801" s="215"/>
      <c r="H801" s="215"/>
      <c r="I801" s="215"/>
      <c r="J801" s="215"/>
      <c r="K801" s="215"/>
      <c r="L801" s="45" t="str">
        <f t="shared" si="1"/>
        <v/>
      </c>
      <c r="M801" s="46" t="str">
        <f>IFERROR(__xludf.DUMMYFUNCTION("IF(Account!$F801&lt;&gt;"""", VALUE(REGEXREPLACE($I801, ""\,"", ""."")), """")"),"")</f>
        <v/>
      </c>
      <c r="N801" s="47" t="str">
        <f>IF(Account!$F801&lt;&gt;"", DATEVALUE(MID($A801,4,3) &amp; LEFT($A801,3) &amp; RIGHT($A801,4)) + TIMEVALUE($B801), "")</f>
        <v/>
      </c>
      <c r="O801" s="48" t="str">
        <f>IF(Account!$F801&lt;&gt;"", DATEVALUE(MID($A801,4,3) &amp; LEFT($A801,3) &amp; RIGHT($A801,4)), "")</f>
        <v/>
      </c>
      <c r="P801" s="49" t="str">
        <f>IFERROR(VLOOKUP($Q801,Selection!$F:$G,2,false))</f>
        <v/>
      </c>
      <c r="Q801" s="50" t="str">
        <f>IF(AND($X801="change",$H801="EUR"),IF(AND($Z801="Crédit",$N801=$N802),$Q802,IF(AND($Z801="Débit",$N801=$N800),$Q800)),IF(OR(AND(OR($E801&lt;&gt;"",$L801=""),$M801&lt;&gt;0),$A801=""),IFERROR(VLOOKUP($E801,Selection!$E:$F,2,false)),IFERROR(VLOOKUP(SUBSTITUTE($I801,"-","",1),$K802:$Q1119,7,false),VLOOKUP($K801,$K802:$Q1119,7,false))))</f>
        <v/>
      </c>
      <c r="R801" s="49" t="str">
        <f t="shared" si="2"/>
        <v/>
      </c>
      <c r="S801" s="51" t="str">
        <f t="shared" si="3"/>
        <v/>
      </c>
      <c r="T801" s="52" t="str">
        <f t="shared" si="4"/>
        <v/>
      </c>
      <c r="U801" s="46" t="str">
        <f t="shared" si="5"/>
        <v/>
      </c>
      <c r="V801" s="53" t="str">
        <f>IFERROR(__xludf.DUMMYFUNCTION(" IF(Account!$F801&lt;&gt;"""", SPLIT(Account!$F801, "" ""), """")"),"")</f>
        <v/>
      </c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</row>
    <row r="802">
      <c r="A802" s="215"/>
      <c r="B802" s="215"/>
      <c r="C802" s="215"/>
      <c r="D802" s="215"/>
      <c r="E802" s="215"/>
      <c r="F802" s="373"/>
      <c r="G802" s="215"/>
      <c r="H802" s="215"/>
      <c r="I802" s="215"/>
      <c r="J802" s="215"/>
      <c r="K802" s="215"/>
      <c r="L802" s="45" t="str">
        <f t="shared" si="1"/>
        <v/>
      </c>
      <c r="M802" s="46" t="str">
        <f>IFERROR(__xludf.DUMMYFUNCTION("IF(Account!$F802&lt;&gt;"""", VALUE(REGEXREPLACE($I802, ""\,"", ""."")), """")"),"")</f>
        <v/>
      </c>
      <c r="N802" s="47" t="str">
        <f>IF(Account!$F802&lt;&gt;"", DATEVALUE(MID($A802,4,3) &amp; LEFT($A802,3) &amp; RIGHT($A802,4)) + TIMEVALUE($B802), "")</f>
        <v/>
      </c>
      <c r="O802" s="48" t="str">
        <f>IF(Account!$F802&lt;&gt;"", DATEVALUE(MID($A802,4,3) &amp; LEFT($A802,3) &amp; RIGHT($A802,4)), "")</f>
        <v/>
      </c>
      <c r="P802" s="49" t="str">
        <f>IFERROR(VLOOKUP($Q802,Selection!$F:$G,2,false))</f>
        <v/>
      </c>
      <c r="Q802" s="50" t="str">
        <f>IF(AND($X802="change",$H802="EUR"),IF(AND($Z802="Crédit",$N802=$N803),$Q803,IF(AND($Z802="Débit",$N802=$N801),$Q801)),IF(OR(AND(OR($E802&lt;&gt;"",$L802=""),$M802&lt;&gt;0),$A802=""),IFERROR(VLOOKUP($E802,Selection!$E:$F,2,false)),IFERROR(VLOOKUP(SUBSTITUTE($I802,"-","",1),$K803:$Q1119,7,false),VLOOKUP($K802,$K803:$Q1119,7,false))))</f>
        <v/>
      </c>
      <c r="R802" s="49" t="str">
        <f t="shared" si="2"/>
        <v/>
      </c>
      <c r="S802" s="51" t="str">
        <f t="shared" si="3"/>
        <v/>
      </c>
      <c r="T802" s="52" t="str">
        <f t="shared" si="4"/>
        <v/>
      </c>
      <c r="U802" s="46" t="str">
        <f t="shared" si="5"/>
        <v/>
      </c>
      <c r="V802" s="53" t="str">
        <f>IFERROR(__xludf.DUMMYFUNCTION(" IF(Account!$F802&lt;&gt;"""", SPLIT(Account!$F802, "" ""), """")"),"")</f>
        <v/>
      </c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</row>
    <row r="803">
      <c r="A803" s="215"/>
      <c r="B803" s="215"/>
      <c r="C803" s="215"/>
      <c r="D803" s="215"/>
      <c r="E803" s="215"/>
      <c r="F803" s="373"/>
      <c r="G803" s="215"/>
      <c r="H803" s="215"/>
      <c r="I803" s="215"/>
      <c r="J803" s="215"/>
      <c r="K803" s="215"/>
      <c r="L803" s="45" t="str">
        <f t="shared" si="1"/>
        <v/>
      </c>
      <c r="M803" s="46" t="str">
        <f>IFERROR(__xludf.DUMMYFUNCTION("IF(Account!$F803&lt;&gt;"""", VALUE(REGEXREPLACE($I803, ""\,"", ""."")), """")"),"")</f>
        <v/>
      </c>
      <c r="N803" s="47" t="str">
        <f>IF(Account!$F803&lt;&gt;"", DATEVALUE(MID($A803,4,3) &amp; LEFT($A803,3) &amp; RIGHT($A803,4)) + TIMEVALUE($B803), "")</f>
        <v/>
      </c>
      <c r="O803" s="48" t="str">
        <f>IF(Account!$F803&lt;&gt;"", DATEVALUE(MID($A803,4,3) &amp; LEFT($A803,3) &amp; RIGHT($A803,4)), "")</f>
        <v/>
      </c>
      <c r="P803" s="49" t="str">
        <f>IFERROR(VLOOKUP($Q803,Selection!$F:$G,2,false))</f>
        <v/>
      </c>
      <c r="Q803" s="50" t="str">
        <f>IF(AND($X803="change",$H803="EUR"),IF(AND($Z803="Crédit",$N803=$N804),$Q804,IF(AND($Z803="Débit",$N803=$N802),$Q802)),IF(OR(AND(OR($E803&lt;&gt;"",$L803=""),$M803&lt;&gt;0),$A803=""),IFERROR(VLOOKUP($E803,Selection!$E:$F,2,false)),IFERROR(VLOOKUP(SUBSTITUTE($I803,"-","",1),$K804:$Q1119,7,false),VLOOKUP($K803,$K804:$Q1119,7,false))))</f>
        <v/>
      </c>
      <c r="R803" s="49" t="str">
        <f t="shared" si="2"/>
        <v/>
      </c>
      <c r="S803" s="51" t="str">
        <f t="shared" si="3"/>
        <v/>
      </c>
      <c r="T803" s="52" t="str">
        <f t="shared" si="4"/>
        <v/>
      </c>
      <c r="U803" s="46" t="str">
        <f t="shared" si="5"/>
        <v/>
      </c>
      <c r="V803" s="53" t="str">
        <f>IFERROR(__xludf.DUMMYFUNCTION(" IF(Account!$F803&lt;&gt;"""", SPLIT(Account!$F803, "" ""), """")"),"")</f>
        <v/>
      </c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</row>
    <row r="804">
      <c r="A804" s="215"/>
      <c r="B804" s="215"/>
      <c r="C804" s="215"/>
      <c r="D804" s="215"/>
      <c r="E804" s="215"/>
      <c r="F804" s="373"/>
      <c r="G804" s="215"/>
      <c r="H804" s="215"/>
      <c r="I804" s="215"/>
      <c r="J804" s="215"/>
      <c r="K804" s="215"/>
      <c r="L804" s="45" t="str">
        <f t="shared" si="1"/>
        <v/>
      </c>
      <c r="M804" s="46" t="str">
        <f>IFERROR(__xludf.DUMMYFUNCTION("IF(Account!$F804&lt;&gt;"""", VALUE(REGEXREPLACE($I804, ""\,"", ""."")), """")"),"")</f>
        <v/>
      </c>
      <c r="N804" s="47" t="str">
        <f>IF(Account!$F804&lt;&gt;"", DATEVALUE(MID($A804,4,3) &amp; LEFT($A804,3) &amp; RIGHT($A804,4)) + TIMEVALUE($B804), "")</f>
        <v/>
      </c>
      <c r="O804" s="48" t="str">
        <f>IF(Account!$F804&lt;&gt;"", DATEVALUE(MID($A804,4,3) &amp; LEFT($A804,3) &amp; RIGHT($A804,4)), "")</f>
        <v/>
      </c>
      <c r="P804" s="49" t="str">
        <f>IFERROR(VLOOKUP($Q804,Selection!$F:$G,2,false))</f>
        <v/>
      </c>
      <c r="Q804" s="50" t="str">
        <f>IF(AND($X804="change",$H804="EUR"),IF(AND($Z804="Crédit",$N804=$N805),$Q805,IF(AND($Z804="Débit",$N804=$N803),$Q803)),IF(OR(AND(OR($E804&lt;&gt;"",$L804=""),$M804&lt;&gt;0),$A804=""),IFERROR(VLOOKUP($E804,Selection!$E:$F,2,false)),IFERROR(VLOOKUP(SUBSTITUTE($I804,"-","",1),$K805:$Q1119,7,false),VLOOKUP($K804,$K805:$Q1119,7,false))))</f>
        <v/>
      </c>
      <c r="R804" s="49" t="str">
        <f t="shared" si="2"/>
        <v/>
      </c>
      <c r="S804" s="51" t="str">
        <f t="shared" si="3"/>
        <v/>
      </c>
      <c r="T804" s="52" t="str">
        <f t="shared" si="4"/>
        <v/>
      </c>
      <c r="U804" s="46" t="str">
        <f t="shared" si="5"/>
        <v/>
      </c>
      <c r="V804" s="53" t="str">
        <f>IFERROR(__xludf.DUMMYFUNCTION(" IF(Account!$F804&lt;&gt;"""", SPLIT(Account!$F804, "" ""), """")"),"")</f>
        <v/>
      </c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</row>
    <row r="805">
      <c r="A805" s="215"/>
      <c r="B805" s="215"/>
      <c r="C805" s="215"/>
      <c r="D805" s="215"/>
      <c r="E805" s="215"/>
      <c r="F805" s="373"/>
      <c r="G805" s="215"/>
      <c r="H805" s="215"/>
      <c r="I805" s="215"/>
      <c r="J805" s="215"/>
      <c r="K805" s="215"/>
      <c r="L805" s="45" t="str">
        <f t="shared" si="1"/>
        <v/>
      </c>
      <c r="M805" s="46" t="str">
        <f>IFERROR(__xludf.DUMMYFUNCTION("IF(Account!$F805&lt;&gt;"""", VALUE(REGEXREPLACE($I805, ""\,"", ""."")), """")"),"")</f>
        <v/>
      </c>
      <c r="N805" s="47" t="str">
        <f>IF(Account!$F805&lt;&gt;"", DATEVALUE(MID($A805,4,3) &amp; LEFT($A805,3) &amp; RIGHT($A805,4)) + TIMEVALUE($B805), "")</f>
        <v/>
      </c>
      <c r="O805" s="48" t="str">
        <f>IF(Account!$F805&lt;&gt;"", DATEVALUE(MID($A805,4,3) &amp; LEFT($A805,3) &amp; RIGHT($A805,4)), "")</f>
        <v/>
      </c>
      <c r="P805" s="49" t="str">
        <f>IFERROR(VLOOKUP($Q805,Selection!$F:$G,2,false))</f>
        <v/>
      </c>
      <c r="Q805" s="50" t="str">
        <f>IF(AND($X805="change",$H805="EUR"),IF(AND($Z805="Crédit",$N805=$N806),$Q806,IF(AND($Z805="Débit",$N805=$N804),$Q804)),IF(OR(AND(OR($E805&lt;&gt;"",$L805=""),$M805&lt;&gt;0),$A805=""),IFERROR(VLOOKUP($E805,Selection!$E:$F,2,false)),IFERROR(VLOOKUP(SUBSTITUTE($I805,"-","",1),$K806:$Q1119,7,false),VLOOKUP($K805,$K806:$Q1119,7,false))))</f>
        <v/>
      </c>
      <c r="R805" s="49" t="str">
        <f t="shared" si="2"/>
        <v/>
      </c>
      <c r="S805" s="51" t="str">
        <f t="shared" si="3"/>
        <v/>
      </c>
      <c r="T805" s="52" t="str">
        <f t="shared" si="4"/>
        <v/>
      </c>
      <c r="U805" s="46" t="str">
        <f t="shared" si="5"/>
        <v/>
      </c>
      <c r="V805" s="53" t="str">
        <f>IFERROR(__xludf.DUMMYFUNCTION(" IF(Account!$F805&lt;&gt;"""", SPLIT(Account!$F805, "" ""), """")"),"")</f>
        <v/>
      </c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</row>
    <row r="806">
      <c r="A806" s="215"/>
      <c r="B806" s="215"/>
      <c r="C806" s="215"/>
      <c r="D806" s="215"/>
      <c r="E806" s="215"/>
      <c r="F806" s="373"/>
      <c r="G806" s="215"/>
      <c r="H806" s="215"/>
      <c r="I806" s="215"/>
      <c r="J806" s="215"/>
      <c r="K806" s="215"/>
      <c r="L806" s="45" t="str">
        <f t="shared" si="1"/>
        <v/>
      </c>
      <c r="M806" s="46" t="str">
        <f>IFERROR(__xludf.DUMMYFUNCTION("IF(Account!$F806&lt;&gt;"""", VALUE(REGEXREPLACE($I806, ""\,"", ""."")), """")"),"")</f>
        <v/>
      </c>
      <c r="N806" s="47" t="str">
        <f>IF(Account!$F806&lt;&gt;"", DATEVALUE(MID($A806,4,3) &amp; LEFT($A806,3) &amp; RIGHT($A806,4)) + TIMEVALUE($B806), "")</f>
        <v/>
      </c>
      <c r="O806" s="48" t="str">
        <f>IF(Account!$F806&lt;&gt;"", DATEVALUE(MID($A806,4,3) &amp; LEFT($A806,3) &amp; RIGHT($A806,4)), "")</f>
        <v/>
      </c>
      <c r="P806" s="49" t="str">
        <f>IFERROR(VLOOKUP($Q806,Selection!$F:$G,2,false))</f>
        <v/>
      </c>
      <c r="Q806" s="50" t="str">
        <f>IF(AND($X806="change",$H806="EUR"),IF(AND($Z806="Crédit",$N806=$N807),$Q807,IF(AND($Z806="Débit",$N806=$N805),$Q805)),IF(OR(AND(OR($E806&lt;&gt;"",$L806=""),$M806&lt;&gt;0),$A806=""),IFERROR(VLOOKUP($E806,Selection!$E:$F,2,false)),IFERROR(VLOOKUP(SUBSTITUTE($I806,"-","",1),$K807:$Q1119,7,false),VLOOKUP($K806,$K807:$Q1119,7,false))))</f>
        <v/>
      </c>
      <c r="R806" s="49" t="str">
        <f t="shared" si="2"/>
        <v/>
      </c>
      <c r="S806" s="51" t="str">
        <f t="shared" si="3"/>
        <v/>
      </c>
      <c r="T806" s="52" t="str">
        <f t="shared" si="4"/>
        <v/>
      </c>
      <c r="U806" s="46" t="str">
        <f t="shared" si="5"/>
        <v/>
      </c>
      <c r="V806" s="53" t="str">
        <f>IFERROR(__xludf.DUMMYFUNCTION(" IF(Account!$F806&lt;&gt;"""", SPLIT(Account!$F806, "" ""), """")"),"")</f>
        <v/>
      </c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</row>
    <row r="807">
      <c r="A807" s="215"/>
      <c r="B807" s="215"/>
      <c r="C807" s="215"/>
      <c r="D807" s="215"/>
      <c r="E807" s="215"/>
      <c r="F807" s="373"/>
      <c r="G807" s="215"/>
      <c r="H807" s="215"/>
      <c r="I807" s="215"/>
      <c r="J807" s="215"/>
      <c r="K807" s="215"/>
      <c r="L807" s="45" t="str">
        <f t="shared" si="1"/>
        <v/>
      </c>
      <c r="M807" s="46" t="str">
        <f>IFERROR(__xludf.DUMMYFUNCTION("IF(Account!$F807&lt;&gt;"""", VALUE(REGEXREPLACE($I807, ""\,"", ""."")), """")"),"")</f>
        <v/>
      </c>
      <c r="N807" s="47" t="str">
        <f>IF(Account!$F807&lt;&gt;"", DATEVALUE(MID($A807,4,3) &amp; LEFT($A807,3) &amp; RIGHT($A807,4)) + TIMEVALUE($B807), "")</f>
        <v/>
      </c>
      <c r="O807" s="48" t="str">
        <f>IF(Account!$F807&lt;&gt;"", DATEVALUE(MID($A807,4,3) &amp; LEFT($A807,3) &amp; RIGHT($A807,4)), "")</f>
        <v/>
      </c>
      <c r="P807" s="49" t="str">
        <f>IFERROR(VLOOKUP($Q807,Selection!$F:$G,2,false))</f>
        <v/>
      </c>
      <c r="Q807" s="50" t="str">
        <f>IF(AND($X807="change",$H807="EUR"),IF(AND($Z807="Crédit",$N807=$N808),$Q808,IF(AND($Z807="Débit",$N807=$N806),$Q806)),IF(OR(AND(OR($E807&lt;&gt;"",$L807=""),$M807&lt;&gt;0),$A807=""),IFERROR(VLOOKUP($E807,Selection!$E:$F,2,false)),IFERROR(VLOOKUP(SUBSTITUTE($I807,"-","",1),$K808:$Q1119,7,false),VLOOKUP($K807,$K808:$Q1119,7,false))))</f>
        <v/>
      </c>
      <c r="R807" s="49" t="str">
        <f t="shared" si="2"/>
        <v/>
      </c>
      <c r="S807" s="51" t="str">
        <f t="shared" si="3"/>
        <v/>
      </c>
      <c r="T807" s="52" t="str">
        <f t="shared" si="4"/>
        <v/>
      </c>
      <c r="U807" s="46" t="str">
        <f t="shared" si="5"/>
        <v/>
      </c>
      <c r="V807" s="53" t="str">
        <f>IFERROR(__xludf.DUMMYFUNCTION(" IF(Account!$F807&lt;&gt;"""", SPLIT(Account!$F807, "" ""), """")"),"")</f>
        <v/>
      </c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</row>
    <row r="808">
      <c r="A808" s="215"/>
      <c r="B808" s="215"/>
      <c r="C808" s="215"/>
      <c r="D808" s="215"/>
      <c r="E808" s="215"/>
      <c r="F808" s="373"/>
      <c r="G808" s="215"/>
      <c r="H808" s="215"/>
      <c r="I808" s="215"/>
      <c r="J808" s="215"/>
      <c r="K808" s="215"/>
      <c r="L808" s="45" t="str">
        <f t="shared" si="1"/>
        <v/>
      </c>
      <c r="M808" s="46" t="str">
        <f>IFERROR(__xludf.DUMMYFUNCTION("IF(Account!$F808&lt;&gt;"""", VALUE(REGEXREPLACE($I808, ""\,"", ""."")), """")"),"")</f>
        <v/>
      </c>
      <c r="N808" s="47" t="str">
        <f>IF(Account!$F808&lt;&gt;"", DATEVALUE(MID($A808,4,3) &amp; LEFT($A808,3) &amp; RIGHT($A808,4)) + TIMEVALUE($B808), "")</f>
        <v/>
      </c>
      <c r="O808" s="48" t="str">
        <f>IF(Account!$F808&lt;&gt;"", DATEVALUE(MID($A808,4,3) &amp; LEFT($A808,3) &amp; RIGHT($A808,4)), "")</f>
        <v/>
      </c>
      <c r="P808" s="49" t="str">
        <f>IFERROR(VLOOKUP($Q808,Selection!$F:$G,2,false))</f>
        <v/>
      </c>
      <c r="Q808" s="50" t="str">
        <f>IF(AND($X808="change",$H808="EUR"),IF(AND($Z808="Crédit",$N808=$N809),$Q809,IF(AND($Z808="Débit",$N808=$N807),$Q807)),IF(OR(AND(OR($E808&lt;&gt;"",$L808=""),$M808&lt;&gt;0),$A808=""),IFERROR(VLOOKUP($E808,Selection!$E:$F,2,false)),IFERROR(VLOOKUP(SUBSTITUTE($I808,"-","",1),$K809:$Q1119,7,false),VLOOKUP($K808,$K809:$Q1119,7,false))))</f>
        <v/>
      </c>
      <c r="R808" s="49" t="str">
        <f t="shared" si="2"/>
        <v/>
      </c>
      <c r="S808" s="51" t="str">
        <f t="shared" si="3"/>
        <v/>
      </c>
      <c r="T808" s="52" t="str">
        <f t="shared" si="4"/>
        <v/>
      </c>
      <c r="U808" s="46" t="str">
        <f t="shared" si="5"/>
        <v/>
      </c>
      <c r="V808" s="53" t="str">
        <f>IFERROR(__xludf.DUMMYFUNCTION(" IF(Account!$F808&lt;&gt;"""", SPLIT(Account!$F808, "" ""), """")"),"")</f>
        <v/>
      </c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</row>
    <row r="809">
      <c r="A809" s="215"/>
      <c r="B809" s="215"/>
      <c r="C809" s="215"/>
      <c r="D809" s="215"/>
      <c r="E809" s="215"/>
      <c r="F809" s="373"/>
      <c r="G809" s="215"/>
      <c r="H809" s="215"/>
      <c r="I809" s="215"/>
      <c r="J809" s="215"/>
      <c r="K809" s="215"/>
      <c r="L809" s="45" t="str">
        <f t="shared" si="1"/>
        <v/>
      </c>
      <c r="M809" s="46" t="str">
        <f>IFERROR(__xludf.DUMMYFUNCTION("IF(Account!$F809&lt;&gt;"""", VALUE(REGEXREPLACE($I809, ""\,"", ""."")), """")"),"")</f>
        <v/>
      </c>
      <c r="N809" s="47" t="str">
        <f>IF(Account!$F809&lt;&gt;"", DATEVALUE(MID($A809,4,3) &amp; LEFT($A809,3) &amp; RIGHT($A809,4)) + TIMEVALUE($B809), "")</f>
        <v/>
      </c>
      <c r="O809" s="48" t="str">
        <f>IF(Account!$F809&lt;&gt;"", DATEVALUE(MID($A809,4,3) &amp; LEFT($A809,3) &amp; RIGHT($A809,4)), "")</f>
        <v/>
      </c>
      <c r="P809" s="49" t="str">
        <f>IFERROR(VLOOKUP($Q809,Selection!$F:$G,2,false))</f>
        <v/>
      </c>
      <c r="Q809" s="50" t="str">
        <f>IF(AND($X809="change",$H809="EUR"),IF(AND($Z809="Crédit",$N809=$N810),$Q810,IF(AND($Z809="Débit",$N809=$N808),$Q808)),IF(OR(AND(OR($E809&lt;&gt;"",$L809=""),$M809&lt;&gt;0),$A809=""),IFERROR(VLOOKUP($E809,Selection!$E:$F,2,false)),IFERROR(VLOOKUP(SUBSTITUTE($I809,"-","",1),$K810:$Q1119,7,false),VLOOKUP($K809,$K810:$Q1119,7,false))))</f>
        <v/>
      </c>
      <c r="R809" s="49" t="str">
        <f t="shared" si="2"/>
        <v/>
      </c>
      <c r="S809" s="51" t="str">
        <f t="shared" si="3"/>
        <v/>
      </c>
      <c r="T809" s="52" t="str">
        <f t="shared" si="4"/>
        <v/>
      </c>
      <c r="U809" s="46" t="str">
        <f t="shared" si="5"/>
        <v/>
      </c>
      <c r="V809" s="53" t="str">
        <f>IFERROR(__xludf.DUMMYFUNCTION(" IF(Account!$F809&lt;&gt;"""", SPLIT(Account!$F809, "" ""), """")"),"")</f>
        <v/>
      </c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</row>
    <row r="810">
      <c r="A810" s="215"/>
      <c r="B810" s="215"/>
      <c r="C810" s="215"/>
      <c r="D810" s="215"/>
      <c r="E810" s="215"/>
      <c r="F810" s="373"/>
      <c r="G810" s="215"/>
      <c r="H810" s="215"/>
      <c r="I810" s="215"/>
      <c r="J810" s="215"/>
      <c r="K810" s="215"/>
      <c r="L810" s="45" t="str">
        <f t="shared" si="1"/>
        <v/>
      </c>
      <c r="M810" s="46" t="str">
        <f>IFERROR(__xludf.DUMMYFUNCTION("IF(Account!$F810&lt;&gt;"""", VALUE(REGEXREPLACE($I810, ""\,"", ""."")), """")"),"")</f>
        <v/>
      </c>
      <c r="N810" s="47" t="str">
        <f>IF(Account!$F810&lt;&gt;"", DATEVALUE(MID($A810,4,3) &amp; LEFT($A810,3) &amp; RIGHT($A810,4)) + TIMEVALUE($B810), "")</f>
        <v/>
      </c>
      <c r="O810" s="48" t="str">
        <f>IF(Account!$F810&lt;&gt;"", DATEVALUE(MID($A810,4,3) &amp; LEFT($A810,3) &amp; RIGHT($A810,4)), "")</f>
        <v/>
      </c>
      <c r="P810" s="49" t="str">
        <f>IFERROR(VLOOKUP($Q810,Selection!$F:$G,2,false))</f>
        <v/>
      </c>
      <c r="Q810" s="50" t="str">
        <f>IF(AND($X810="change",$H810="EUR"),IF(AND($Z810="Crédit",$N810=$N811),$Q811,IF(AND($Z810="Débit",$N810=$N809),$Q809)),IF(OR(AND(OR($E810&lt;&gt;"",$L810=""),$M810&lt;&gt;0),$A810=""),IFERROR(VLOOKUP($E810,Selection!$E:$F,2,false)),IFERROR(VLOOKUP(SUBSTITUTE($I810,"-","",1),$K811:$Q1119,7,false),VLOOKUP($K810,$K811:$Q1119,7,false))))</f>
        <v/>
      </c>
      <c r="R810" s="49" t="str">
        <f t="shared" si="2"/>
        <v/>
      </c>
      <c r="S810" s="51" t="str">
        <f t="shared" si="3"/>
        <v/>
      </c>
      <c r="T810" s="52" t="str">
        <f t="shared" si="4"/>
        <v/>
      </c>
      <c r="U810" s="46" t="str">
        <f t="shared" si="5"/>
        <v/>
      </c>
      <c r="V810" s="53" t="str">
        <f>IFERROR(__xludf.DUMMYFUNCTION(" IF(Account!$F810&lt;&gt;"""", SPLIT(Account!$F810, "" ""), """")"),"")</f>
        <v/>
      </c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</row>
    <row r="811">
      <c r="A811" s="215"/>
      <c r="B811" s="215"/>
      <c r="C811" s="215"/>
      <c r="D811" s="215"/>
      <c r="E811" s="215"/>
      <c r="F811" s="373"/>
      <c r="G811" s="215"/>
      <c r="H811" s="215"/>
      <c r="I811" s="215"/>
      <c r="J811" s="215"/>
      <c r="K811" s="215"/>
      <c r="L811" s="45" t="str">
        <f t="shared" si="1"/>
        <v/>
      </c>
      <c r="M811" s="46" t="str">
        <f>IFERROR(__xludf.DUMMYFUNCTION("IF(Account!$F811&lt;&gt;"""", VALUE(REGEXREPLACE($I811, ""\,"", ""."")), """")"),"")</f>
        <v/>
      </c>
      <c r="N811" s="47" t="str">
        <f>IF(Account!$F811&lt;&gt;"", DATEVALUE(MID($A811,4,3) &amp; LEFT($A811,3) &amp; RIGHT($A811,4)) + TIMEVALUE($B811), "")</f>
        <v/>
      </c>
      <c r="O811" s="48" t="str">
        <f>IF(Account!$F811&lt;&gt;"", DATEVALUE(MID($A811,4,3) &amp; LEFT($A811,3) &amp; RIGHT($A811,4)), "")</f>
        <v/>
      </c>
      <c r="P811" s="49" t="str">
        <f>IFERROR(VLOOKUP($Q811,Selection!$F:$G,2,false))</f>
        <v/>
      </c>
      <c r="Q811" s="50" t="str">
        <f>IF(AND($X811="change",$H811="EUR"),IF(AND($Z811="Crédit",$N811=$N812),$Q812,IF(AND($Z811="Débit",$N811=$N810),$Q810)),IF(OR(AND(OR($E811&lt;&gt;"",$L811=""),$M811&lt;&gt;0),$A811=""),IFERROR(VLOOKUP($E811,Selection!$E:$F,2,false)),IFERROR(VLOOKUP(SUBSTITUTE($I811,"-","",1),$K812:$Q1119,7,false),VLOOKUP($K811,$K812:$Q1119,7,false))))</f>
        <v/>
      </c>
      <c r="R811" s="49" t="str">
        <f t="shared" si="2"/>
        <v/>
      </c>
      <c r="S811" s="51" t="str">
        <f t="shared" si="3"/>
        <v/>
      </c>
      <c r="T811" s="52" t="str">
        <f t="shared" si="4"/>
        <v/>
      </c>
      <c r="U811" s="46" t="str">
        <f t="shared" si="5"/>
        <v/>
      </c>
      <c r="V811" s="53" t="str">
        <f>IFERROR(__xludf.DUMMYFUNCTION(" IF(Account!$F811&lt;&gt;"""", SPLIT(Account!$F811, "" ""), """")"),"")</f>
        <v/>
      </c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</row>
    <row r="812">
      <c r="A812" s="215"/>
      <c r="B812" s="215"/>
      <c r="C812" s="215"/>
      <c r="D812" s="215"/>
      <c r="E812" s="215"/>
      <c r="F812" s="373"/>
      <c r="G812" s="215"/>
      <c r="H812" s="215"/>
      <c r="I812" s="215"/>
      <c r="J812" s="215"/>
      <c r="K812" s="215"/>
      <c r="L812" s="45" t="str">
        <f t="shared" si="1"/>
        <v/>
      </c>
      <c r="M812" s="46" t="str">
        <f>IFERROR(__xludf.DUMMYFUNCTION("IF(Account!$F812&lt;&gt;"""", VALUE(REGEXREPLACE($I812, ""\,"", ""."")), """")"),"")</f>
        <v/>
      </c>
      <c r="N812" s="47" t="str">
        <f>IF(Account!$F812&lt;&gt;"", DATEVALUE(MID($A812,4,3) &amp; LEFT($A812,3) &amp; RIGHT($A812,4)) + TIMEVALUE($B812), "")</f>
        <v/>
      </c>
      <c r="O812" s="48" t="str">
        <f>IF(Account!$F812&lt;&gt;"", DATEVALUE(MID($A812,4,3) &amp; LEFT($A812,3) &amp; RIGHT($A812,4)), "")</f>
        <v/>
      </c>
      <c r="P812" s="49" t="str">
        <f>IFERROR(VLOOKUP($Q812,Selection!$F:$G,2,false))</f>
        <v/>
      </c>
      <c r="Q812" s="50" t="str">
        <f>IF(AND($X812="change",$H812="EUR"),IF(AND($Z812="Crédit",$N812=$N813),$Q813,IF(AND($Z812="Débit",$N812=$N811),$Q811)),IF(OR(AND(OR($E812&lt;&gt;"",$L812=""),$M812&lt;&gt;0),$A812=""),IFERROR(VLOOKUP($E812,Selection!$E:$F,2,false)),IFERROR(VLOOKUP(SUBSTITUTE($I812,"-","",1),$K813:$Q1119,7,false),VLOOKUP($K812,$K813:$Q1119,7,false))))</f>
        <v/>
      </c>
      <c r="R812" s="49" t="str">
        <f t="shared" si="2"/>
        <v/>
      </c>
      <c r="S812" s="51" t="str">
        <f t="shared" si="3"/>
        <v/>
      </c>
      <c r="T812" s="52" t="str">
        <f t="shared" si="4"/>
        <v/>
      </c>
      <c r="U812" s="46" t="str">
        <f t="shared" si="5"/>
        <v/>
      </c>
      <c r="V812" s="53" t="str">
        <f>IFERROR(__xludf.DUMMYFUNCTION(" IF(Account!$F812&lt;&gt;"""", SPLIT(Account!$F812, "" ""), """")"),"")</f>
        <v/>
      </c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</row>
    <row r="813">
      <c r="A813" s="215"/>
      <c r="B813" s="215"/>
      <c r="C813" s="215"/>
      <c r="D813" s="215"/>
      <c r="E813" s="215"/>
      <c r="F813" s="373"/>
      <c r="G813" s="215"/>
      <c r="H813" s="215"/>
      <c r="I813" s="215"/>
      <c r="J813" s="215"/>
      <c r="K813" s="215"/>
      <c r="L813" s="45" t="str">
        <f t="shared" si="1"/>
        <v/>
      </c>
      <c r="M813" s="46" t="str">
        <f>IFERROR(__xludf.DUMMYFUNCTION("IF(Account!$F813&lt;&gt;"""", VALUE(REGEXREPLACE($I813, ""\,"", ""."")), """")"),"")</f>
        <v/>
      </c>
      <c r="N813" s="47" t="str">
        <f>IF(Account!$F813&lt;&gt;"", DATEVALUE(MID($A813,4,3) &amp; LEFT($A813,3) &amp; RIGHT($A813,4)) + TIMEVALUE($B813), "")</f>
        <v/>
      </c>
      <c r="O813" s="48" t="str">
        <f>IF(Account!$F813&lt;&gt;"", DATEVALUE(MID($A813,4,3) &amp; LEFT($A813,3) &amp; RIGHT($A813,4)), "")</f>
        <v/>
      </c>
      <c r="P813" s="49" t="str">
        <f>IFERROR(VLOOKUP($Q813,Selection!$F:$G,2,false))</f>
        <v/>
      </c>
      <c r="Q813" s="50" t="str">
        <f>IF(AND($X813="change",$H813="EUR"),IF(AND($Z813="Crédit",$N813=$N814),$Q814,IF(AND($Z813="Débit",$N813=$N812),$Q812)),IF(OR(AND(OR($E813&lt;&gt;"",$L813=""),$M813&lt;&gt;0),$A813=""),IFERROR(VLOOKUP($E813,Selection!$E:$F,2,false)),IFERROR(VLOOKUP(SUBSTITUTE($I813,"-","",1),$K814:$Q1119,7,false),VLOOKUP($K813,$K814:$Q1119,7,false))))</f>
        <v/>
      </c>
      <c r="R813" s="49" t="str">
        <f t="shared" si="2"/>
        <v/>
      </c>
      <c r="S813" s="51" t="str">
        <f t="shared" si="3"/>
        <v/>
      </c>
      <c r="T813" s="52" t="str">
        <f t="shared" si="4"/>
        <v/>
      </c>
      <c r="U813" s="46" t="str">
        <f t="shared" si="5"/>
        <v/>
      </c>
      <c r="V813" s="53" t="str">
        <f>IFERROR(__xludf.DUMMYFUNCTION(" IF(Account!$F813&lt;&gt;"""", SPLIT(Account!$F813, "" ""), """")"),"")</f>
        <v/>
      </c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</row>
    <row r="814">
      <c r="A814" s="215"/>
      <c r="B814" s="215"/>
      <c r="C814" s="215"/>
      <c r="D814" s="215"/>
      <c r="E814" s="215"/>
      <c r="F814" s="373"/>
      <c r="G814" s="215"/>
      <c r="H814" s="215"/>
      <c r="I814" s="215"/>
      <c r="J814" s="215"/>
      <c r="K814" s="215"/>
      <c r="L814" s="45" t="str">
        <f t="shared" si="1"/>
        <v/>
      </c>
      <c r="M814" s="46" t="str">
        <f>IFERROR(__xludf.DUMMYFUNCTION("IF(Account!$F814&lt;&gt;"""", VALUE(REGEXREPLACE($I814, ""\,"", ""."")), """")"),"")</f>
        <v/>
      </c>
      <c r="N814" s="47" t="str">
        <f>IF(Account!$F814&lt;&gt;"", DATEVALUE(MID($A814,4,3) &amp; LEFT($A814,3) &amp; RIGHT($A814,4)) + TIMEVALUE($B814), "")</f>
        <v/>
      </c>
      <c r="O814" s="48" t="str">
        <f>IF(Account!$F814&lt;&gt;"", DATEVALUE(MID($A814,4,3) &amp; LEFT($A814,3) &amp; RIGHT($A814,4)), "")</f>
        <v/>
      </c>
      <c r="P814" s="49" t="str">
        <f>IFERROR(VLOOKUP($Q814,Selection!$F:$G,2,false))</f>
        <v/>
      </c>
      <c r="Q814" s="50" t="str">
        <f>IF(AND($X814="change",$H814="EUR"),IF(AND($Z814="Crédit",$N814=$N815),$Q815,IF(AND($Z814="Débit",$N814=$N813),$Q813)),IF(OR(AND(OR($E814&lt;&gt;"",$L814=""),$M814&lt;&gt;0),$A814=""),IFERROR(VLOOKUP($E814,Selection!$E:$F,2,false)),IFERROR(VLOOKUP(SUBSTITUTE($I814,"-","",1),$K815:$Q1119,7,false),VLOOKUP($K814,$K815:$Q1119,7,false))))</f>
        <v/>
      </c>
      <c r="R814" s="49" t="str">
        <f t="shared" si="2"/>
        <v/>
      </c>
      <c r="S814" s="51" t="str">
        <f t="shared" si="3"/>
        <v/>
      </c>
      <c r="T814" s="52" t="str">
        <f t="shared" si="4"/>
        <v/>
      </c>
      <c r="U814" s="46" t="str">
        <f t="shared" si="5"/>
        <v/>
      </c>
      <c r="V814" s="53" t="str">
        <f>IFERROR(__xludf.DUMMYFUNCTION(" IF(Account!$F814&lt;&gt;"""", SPLIT(Account!$F814, "" ""), """")"),"")</f>
        <v/>
      </c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</row>
    <row r="815">
      <c r="A815" s="215"/>
      <c r="B815" s="215"/>
      <c r="C815" s="215"/>
      <c r="D815" s="215"/>
      <c r="E815" s="215"/>
      <c r="F815" s="373"/>
      <c r="G815" s="215"/>
      <c r="H815" s="215"/>
      <c r="I815" s="215"/>
      <c r="J815" s="215"/>
      <c r="K815" s="215"/>
      <c r="L815" s="45" t="str">
        <f t="shared" si="1"/>
        <v/>
      </c>
      <c r="M815" s="46" t="str">
        <f>IFERROR(__xludf.DUMMYFUNCTION("IF(Account!$F815&lt;&gt;"""", VALUE(REGEXREPLACE($I815, ""\,"", ""."")), """")"),"")</f>
        <v/>
      </c>
      <c r="N815" s="47" t="str">
        <f>IF(Account!$F815&lt;&gt;"", DATEVALUE(MID($A815,4,3) &amp; LEFT($A815,3) &amp; RIGHT($A815,4)) + TIMEVALUE($B815), "")</f>
        <v/>
      </c>
      <c r="O815" s="48" t="str">
        <f>IF(Account!$F815&lt;&gt;"", DATEVALUE(MID($A815,4,3) &amp; LEFT($A815,3) &amp; RIGHT($A815,4)), "")</f>
        <v/>
      </c>
      <c r="P815" s="49" t="str">
        <f>IFERROR(VLOOKUP($Q815,Selection!$F:$G,2,false))</f>
        <v/>
      </c>
      <c r="Q815" s="50" t="str">
        <f>IF(AND($X815="change",$H815="EUR"),IF(AND($Z815="Crédit",$N815=$N816),$Q816,IF(AND($Z815="Débit",$N815=$N814),$Q814)),IF(OR(AND(OR($E815&lt;&gt;"",$L815=""),$M815&lt;&gt;0),$A815=""),IFERROR(VLOOKUP($E815,Selection!$E:$F,2,false)),IFERROR(VLOOKUP(SUBSTITUTE($I815,"-","",1),$K816:$Q1119,7,false),VLOOKUP($K815,$K816:$Q1119,7,false))))</f>
        <v/>
      </c>
      <c r="R815" s="49" t="str">
        <f t="shared" si="2"/>
        <v/>
      </c>
      <c r="S815" s="51" t="str">
        <f t="shared" si="3"/>
        <v/>
      </c>
      <c r="T815" s="52" t="str">
        <f t="shared" si="4"/>
        <v/>
      </c>
      <c r="U815" s="46" t="str">
        <f t="shared" si="5"/>
        <v/>
      </c>
      <c r="V815" s="53" t="str">
        <f>IFERROR(__xludf.DUMMYFUNCTION(" IF(Account!$F815&lt;&gt;"""", SPLIT(Account!$F815, "" ""), """")"),"")</f>
        <v/>
      </c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</row>
    <row r="816">
      <c r="A816" s="215"/>
      <c r="B816" s="215"/>
      <c r="C816" s="215"/>
      <c r="D816" s="215"/>
      <c r="E816" s="215"/>
      <c r="F816" s="373"/>
      <c r="G816" s="215"/>
      <c r="H816" s="215"/>
      <c r="I816" s="215"/>
      <c r="J816" s="215"/>
      <c r="K816" s="215"/>
      <c r="L816" s="45" t="str">
        <f t="shared" si="1"/>
        <v/>
      </c>
      <c r="M816" s="46" t="str">
        <f>IFERROR(__xludf.DUMMYFUNCTION("IF(Account!$F816&lt;&gt;"""", VALUE(REGEXREPLACE($I816, ""\,"", ""."")), """")"),"")</f>
        <v/>
      </c>
      <c r="N816" s="47" t="str">
        <f>IF(Account!$F816&lt;&gt;"", DATEVALUE(MID($A816,4,3) &amp; LEFT($A816,3) &amp; RIGHT($A816,4)) + TIMEVALUE($B816), "")</f>
        <v/>
      </c>
      <c r="O816" s="48" t="str">
        <f>IF(Account!$F816&lt;&gt;"", DATEVALUE(MID($A816,4,3) &amp; LEFT($A816,3) &amp; RIGHT($A816,4)), "")</f>
        <v/>
      </c>
      <c r="P816" s="49" t="str">
        <f>IFERROR(VLOOKUP($Q816,Selection!$F:$G,2,false))</f>
        <v/>
      </c>
      <c r="Q816" s="50" t="str">
        <f>IF(AND($X816="change",$H816="EUR"),IF(AND($Z816="Crédit",$N816=$N817),$Q817,IF(AND($Z816="Débit",$N816=$N815),$Q815)),IF(OR(AND(OR($E816&lt;&gt;"",$L816=""),$M816&lt;&gt;0),$A816=""),IFERROR(VLOOKUP($E816,Selection!$E:$F,2,false)),IFERROR(VLOOKUP(SUBSTITUTE($I816,"-","",1),$K817:$Q1119,7,false),VLOOKUP($K816,$K817:$Q1119,7,false))))</f>
        <v/>
      </c>
      <c r="R816" s="49" t="str">
        <f t="shared" si="2"/>
        <v/>
      </c>
      <c r="S816" s="51" t="str">
        <f t="shared" si="3"/>
        <v/>
      </c>
      <c r="T816" s="52" t="str">
        <f t="shared" si="4"/>
        <v/>
      </c>
      <c r="U816" s="46" t="str">
        <f t="shared" si="5"/>
        <v/>
      </c>
      <c r="V816" s="53" t="str">
        <f>IFERROR(__xludf.DUMMYFUNCTION(" IF(Account!$F816&lt;&gt;"""", SPLIT(Account!$F816, "" ""), """")"),"")</f>
        <v/>
      </c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</row>
    <row r="817">
      <c r="A817" s="215"/>
      <c r="B817" s="215"/>
      <c r="C817" s="215"/>
      <c r="D817" s="215"/>
      <c r="E817" s="215"/>
      <c r="F817" s="373"/>
      <c r="G817" s="215"/>
      <c r="H817" s="215"/>
      <c r="I817" s="215"/>
      <c r="J817" s="215"/>
      <c r="K817" s="215"/>
      <c r="L817" s="45" t="str">
        <f t="shared" si="1"/>
        <v/>
      </c>
      <c r="M817" s="46" t="str">
        <f>IFERROR(__xludf.DUMMYFUNCTION("IF(Account!$F817&lt;&gt;"""", VALUE(REGEXREPLACE($I817, ""\,"", ""."")), """")"),"")</f>
        <v/>
      </c>
      <c r="N817" s="47" t="str">
        <f>IF(Account!$F817&lt;&gt;"", DATEVALUE(MID($A817,4,3) &amp; LEFT($A817,3) &amp; RIGHT($A817,4)) + TIMEVALUE($B817), "")</f>
        <v/>
      </c>
      <c r="O817" s="48" t="str">
        <f>IF(Account!$F817&lt;&gt;"", DATEVALUE(MID($A817,4,3) &amp; LEFT($A817,3) &amp; RIGHT($A817,4)), "")</f>
        <v/>
      </c>
      <c r="P817" s="49" t="str">
        <f>IFERROR(VLOOKUP($Q817,Selection!$F:$G,2,false))</f>
        <v/>
      </c>
      <c r="Q817" s="50" t="str">
        <f>IF(AND($X817="change",$H817="EUR"),IF(AND($Z817="Crédit",$N817=$N818),$Q818,IF(AND($Z817="Débit",$N817=$N816),$Q816)),IF(OR(AND(OR($E817&lt;&gt;"",$L817=""),$M817&lt;&gt;0),$A817=""),IFERROR(VLOOKUP($E817,Selection!$E:$F,2,false)),IFERROR(VLOOKUP(SUBSTITUTE($I817,"-","",1),$K818:$Q1119,7,false),VLOOKUP($K817,$K818:$Q1119,7,false))))</f>
        <v/>
      </c>
      <c r="R817" s="49" t="str">
        <f t="shared" si="2"/>
        <v/>
      </c>
      <c r="S817" s="51" t="str">
        <f t="shared" si="3"/>
        <v/>
      </c>
      <c r="T817" s="52" t="str">
        <f t="shared" si="4"/>
        <v/>
      </c>
      <c r="U817" s="46" t="str">
        <f t="shared" si="5"/>
        <v/>
      </c>
      <c r="V817" s="53" t="str">
        <f>IFERROR(__xludf.DUMMYFUNCTION(" IF(Account!$F817&lt;&gt;"""", SPLIT(Account!$F817, "" ""), """")"),"")</f>
        <v/>
      </c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</row>
    <row r="818">
      <c r="A818" s="215"/>
      <c r="B818" s="215"/>
      <c r="C818" s="215"/>
      <c r="D818" s="215"/>
      <c r="E818" s="215"/>
      <c r="F818" s="373"/>
      <c r="G818" s="215"/>
      <c r="H818" s="215"/>
      <c r="I818" s="215"/>
      <c r="J818" s="215"/>
      <c r="K818" s="215"/>
      <c r="L818" s="45" t="str">
        <f t="shared" si="1"/>
        <v/>
      </c>
      <c r="M818" s="46" t="str">
        <f>IFERROR(__xludf.DUMMYFUNCTION("IF(Account!$F818&lt;&gt;"""", VALUE(REGEXREPLACE($I818, ""\,"", ""."")), """")"),"")</f>
        <v/>
      </c>
      <c r="N818" s="47" t="str">
        <f>IF(Account!$F818&lt;&gt;"", DATEVALUE(MID($A818,4,3) &amp; LEFT($A818,3) &amp; RIGHT($A818,4)) + TIMEVALUE($B818), "")</f>
        <v/>
      </c>
      <c r="O818" s="48" t="str">
        <f>IF(Account!$F818&lt;&gt;"", DATEVALUE(MID($A818,4,3) &amp; LEFT($A818,3) &amp; RIGHT($A818,4)), "")</f>
        <v/>
      </c>
      <c r="P818" s="49" t="str">
        <f>IFERROR(VLOOKUP($Q818,Selection!$F:$G,2,false))</f>
        <v/>
      </c>
      <c r="Q818" s="50" t="str">
        <f>IF(AND($X818="change",$H818="EUR"),IF(AND($Z818="Crédit",$N818=$N819),$Q819,IF(AND($Z818="Débit",$N818=$N817),$Q817)),IF(OR(AND(OR($E818&lt;&gt;"",$L818=""),$M818&lt;&gt;0),$A818=""),IFERROR(VLOOKUP($E818,Selection!$E:$F,2,false)),IFERROR(VLOOKUP(SUBSTITUTE($I818,"-","",1),$K819:$Q1119,7,false),VLOOKUP($K818,$K819:$Q1119,7,false))))</f>
        <v/>
      </c>
      <c r="R818" s="49" t="str">
        <f t="shared" si="2"/>
        <v/>
      </c>
      <c r="S818" s="51" t="str">
        <f t="shared" si="3"/>
        <v/>
      </c>
      <c r="T818" s="52" t="str">
        <f t="shared" si="4"/>
        <v/>
      </c>
      <c r="U818" s="46" t="str">
        <f t="shared" si="5"/>
        <v/>
      </c>
      <c r="V818" s="53" t="str">
        <f>IFERROR(__xludf.DUMMYFUNCTION(" IF(Account!$F818&lt;&gt;"""", SPLIT(Account!$F818, "" ""), """")"),"")</f>
        <v/>
      </c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</row>
    <row r="819">
      <c r="A819" s="215"/>
      <c r="B819" s="215"/>
      <c r="C819" s="215"/>
      <c r="D819" s="215"/>
      <c r="E819" s="215"/>
      <c r="F819" s="373"/>
      <c r="G819" s="215"/>
      <c r="H819" s="215"/>
      <c r="I819" s="215"/>
      <c r="J819" s="215"/>
      <c r="K819" s="215"/>
      <c r="L819" s="45" t="str">
        <f t="shared" si="1"/>
        <v/>
      </c>
      <c r="M819" s="46" t="str">
        <f>IFERROR(__xludf.DUMMYFUNCTION("IF(Account!$F819&lt;&gt;"""", VALUE(REGEXREPLACE($I819, ""\,"", ""."")), """")"),"")</f>
        <v/>
      </c>
      <c r="N819" s="47" t="str">
        <f>IF(Account!$F819&lt;&gt;"", DATEVALUE(MID($A819,4,3) &amp; LEFT($A819,3) &amp; RIGHT($A819,4)) + TIMEVALUE($B819), "")</f>
        <v/>
      </c>
      <c r="O819" s="48" t="str">
        <f>IF(Account!$F819&lt;&gt;"", DATEVALUE(MID($A819,4,3) &amp; LEFT($A819,3) &amp; RIGHT($A819,4)), "")</f>
        <v/>
      </c>
      <c r="P819" s="49" t="str">
        <f>IFERROR(VLOOKUP($Q819,Selection!$F:$G,2,false))</f>
        <v/>
      </c>
      <c r="Q819" s="50" t="str">
        <f>IF(AND($X819="change",$H819="EUR"),IF(AND($Z819="Crédit",$N819=$N820),$Q820,IF(AND($Z819="Débit",$N819=$N818),$Q818)),IF(OR(AND(OR($E819&lt;&gt;"",$L819=""),$M819&lt;&gt;0),$A819=""),IFERROR(VLOOKUP($E819,Selection!$E:$F,2,false)),IFERROR(VLOOKUP(SUBSTITUTE($I819,"-","",1),$K820:$Q1119,7,false),VLOOKUP($K819,$K820:$Q1119,7,false))))</f>
        <v/>
      </c>
      <c r="R819" s="49" t="str">
        <f t="shared" si="2"/>
        <v/>
      </c>
      <c r="S819" s="51" t="str">
        <f t="shared" si="3"/>
        <v/>
      </c>
      <c r="T819" s="52" t="str">
        <f t="shared" si="4"/>
        <v/>
      </c>
      <c r="U819" s="46" t="str">
        <f t="shared" si="5"/>
        <v/>
      </c>
      <c r="V819" s="53" t="str">
        <f>IFERROR(__xludf.DUMMYFUNCTION(" IF(Account!$F819&lt;&gt;"""", SPLIT(Account!$F819, "" ""), """")"),"")</f>
        <v/>
      </c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</row>
    <row r="820">
      <c r="A820" s="215"/>
      <c r="B820" s="215"/>
      <c r="C820" s="215"/>
      <c r="D820" s="215"/>
      <c r="E820" s="215"/>
      <c r="F820" s="373"/>
      <c r="G820" s="215"/>
      <c r="H820" s="215"/>
      <c r="I820" s="215"/>
      <c r="J820" s="215"/>
      <c r="K820" s="215"/>
      <c r="L820" s="45" t="str">
        <f t="shared" si="1"/>
        <v/>
      </c>
      <c r="M820" s="46" t="str">
        <f>IFERROR(__xludf.DUMMYFUNCTION("IF(Account!$F820&lt;&gt;"""", VALUE(REGEXREPLACE($I820, ""\,"", ""."")), """")"),"")</f>
        <v/>
      </c>
      <c r="N820" s="47" t="str">
        <f>IF(Account!$F820&lt;&gt;"", DATEVALUE(MID($A820,4,3) &amp; LEFT($A820,3) &amp; RIGHT($A820,4)) + TIMEVALUE($B820), "")</f>
        <v/>
      </c>
      <c r="O820" s="48" t="str">
        <f>IF(Account!$F820&lt;&gt;"", DATEVALUE(MID($A820,4,3) &amp; LEFT($A820,3) &amp; RIGHT($A820,4)), "")</f>
        <v/>
      </c>
      <c r="P820" s="49" t="str">
        <f>IFERROR(VLOOKUP($Q820,Selection!$F:$G,2,false))</f>
        <v/>
      </c>
      <c r="Q820" s="50" t="str">
        <f>IF(AND($X820="change",$H820="EUR"),IF(AND($Z820="Crédit",$N820=$N821),$Q821,IF(AND($Z820="Débit",$N820=$N819),$Q819)),IF(OR(AND(OR($E820&lt;&gt;"",$L820=""),$M820&lt;&gt;0),$A820=""),IFERROR(VLOOKUP($E820,Selection!$E:$F,2,false)),IFERROR(VLOOKUP(SUBSTITUTE($I820,"-","",1),$K821:$Q1119,7,false),VLOOKUP($K820,$K821:$Q1119,7,false))))</f>
        <v/>
      </c>
      <c r="R820" s="49" t="str">
        <f t="shared" si="2"/>
        <v/>
      </c>
      <c r="S820" s="51" t="str">
        <f t="shared" si="3"/>
        <v/>
      </c>
      <c r="T820" s="52" t="str">
        <f t="shared" si="4"/>
        <v/>
      </c>
      <c r="U820" s="46" t="str">
        <f t="shared" si="5"/>
        <v/>
      </c>
      <c r="V820" s="53" t="str">
        <f>IFERROR(__xludf.DUMMYFUNCTION(" IF(Account!$F820&lt;&gt;"""", SPLIT(Account!$F820, "" ""), """")"),"")</f>
        <v/>
      </c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</row>
    <row r="821">
      <c r="A821" s="215"/>
      <c r="B821" s="215"/>
      <c r="C821" s="215"/>
      <c r="D821" s="215"/>
      <c r="E821" s="215"/>
      <c r="F821" s="373"/>
      <c r="G821" s="215"/>
      <c r="H821" s="215"/>
      <c r="I821" s="215"/>
      <c r="J821" s="215"/>
      <c r="K821" s="215"/>
      <c r="L821" s="45" t="str">
        <f t="shared" si="1"/>
        <v/>
      </c>
      <c r="M821" s="46" t="str">
        <f>IFERROR(__xludf.DUMMYFUNCTION("IF(Account!$F821&lt;&gt;"""", VALUE(REGEXREPLACE($I821, ""\,"", ""."")), """")"),"")</f>
        <v/>
      </c>
      <c r="N821" s="47" t="str">
        <f>IF(Account!$F821&lt;&gt;"", DATEVALUE(MID($A821,4,3) &amp; LEFT($A821,3) &amp; RIGHT($A821,4)) + TIMEVALUE($B821), "")</f>
        <v/>
      </c>
      <c r="O821" s="48" t="str">
        <f>IF(Account!$F821&lt;&gt;"", DATEVALUE(MID($A821,4,3) &amp; LEFT($A821,3) &amp; RIGHT($A821,4)), "")</f>
        <v/>
      </c>
      <c r="P821" s="49" t="str">
        <f>IFERROR(VLOOKUP($Q821,Selection!$F:$G,2,false))</f>
        <v/>
      </c>
      <c r="Q821" s="50" t="str">
        <f>IF(AND($X821="change",$H821="EUR"),IF(AND($Z821="Crédit",$N821=$N822),$Q822,IF(AND($Z821="Débit",$N821=$N820),$Q820)),IF(OR(AND(OR($E821&lt;&gt;"",$L821=""),$M821&lt;&gt;0),$A821=""),IFERROR(VLOOKUP($E821,Selection!$E:$F,2,false)),IFERROR(VLOOKUP(SUBSTITUTE($I821,"-","",1),$K822:$Q1119,7,false),VLOOKUP($K821,$K822:$Q1119,7,false))))</f>
        <v/>
      </c>
      <c r="R821" s="49" t="str">
        <f t="shared" si="2"/>
        <v/>
      </c>
      <c r="S821" s="51" t="str">
        <f t="shared" si="3"/>
        <v/>
      </c>
      <c r="T821" s="52" t="str">
        <f t="shared" si="4"/>
        <v/>
      </c>
      <c r="U821" s="46" t="str">
        <f t="shared" si="5"/>
        <v/>
      </c>
      <c r="V821" s="53" t="str">
        <f>IFERROR(__xludf.DUMMYFUNCTION(" IF(Account!$F821&lt;&gt;"""", SPLIT(Account!$F821, "" ""), """")"),"")</f>
        <v/>
      </c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</row>
    <row r="822">
      <c r="A822" s="215"/>
      <c r="B822" s="215"/>
      <c r="C822" s="215"/>
      <c r="D822" s="215"/>
      <c r="E822" s="215"/>
      <c r="F822" s="373"/>
      <c r="G822" s="215"/>
      <c r="H822" s="215"/>
      <c r="I822" s="215"/>
      <c r="J822" s="215"/>
      <c r="K822" s="215"/>
      <c r="L822" s="45" t="str">
        <f t="shared" si="1"/>
        <v/>
      </c>
      <c r="M822" s="46" t="str">
        <f>IFERROR(__xludf.DUMMYFUNCTION("IF(Account!$F822&lt;&gt;"""", VALUE(REGEXREPLACE($I822, ""\,"", ""."")), """")"),"")</f>
        <v/>
      </c>
      <c r="N822" s="47" t="str">
        <f>IF(Account!$F822&lt;&gt;"", DATEVALUE(MID($A822,4,3) &amp; LEFT($A822,3) &amp; RIGHT($A822,4)) + TIMEVALUE($B822), "")</f>
        <v/>
      </c>
      <c r="O822" s="48" t="str">
        <f>IF(Account!$F822&lt;&gt;"", DATEVALUE(MID($A822,4,3) &amp; LEFT($A822,3) &amp; RIGHT($A822,4)), "")</f>
        <v/>
      </c>
      <c r="P822" s="49" t="str">
        <f>IFERROR(VLOOKUP($Q822,Selection!$F:$G,2,false))</f>
        <v/>
      </c>
      <c r="Q822" s="50" t="str">
        <f>IF(AND($X822="change",$H822="EUR"),IF(AND($Z822="Crédit",$N822=$N823),$Q823,IF(AND($Z822="Débit",$N822=$N821),$Q821)),IF(OR(AND(OR($E822&lt;&gt;"",$L822=""),$M822&lt;&gt;0),$A822=""),IFERROR(VLOOKUP($E822,Selection!$E:$F,2,false)),IFERROR(VLOOKUP(SUBSTITUTE($I822,"-","",1),$K823:$Q1119,7,false),VLOOKUP($K822,$K823:$Q1119,7,false))))</f>
        <v/>
      </c>
      <c r="R822" s="49" t="str">
        <f t="shared" si="2"/>
        <v/>
      </c>
      <c r="S822" s="51" t="str">
        <f t="shared" si="3"/>
        <v/>
      </c>
      <c r="T822" s="52" t="str">
        <f t="shared" si="4"/>
        <v/>
      </c>
      <c r="U822" s="46" t="str">
        <f t="shared" si="5"/>
        <v/>
      </c>
      <c r="V822" s="53" t="str">
        <f>IFERROR(__xludf.DUMMYFUNCTION(" IF(Account!$F822&lt;&gt;"""", SPLIT(Account!$F822, "" ""), """")"),"")</f>
        <v/>
      </c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</row>
    <row r="823">
      <c r="A823" s="215"/>
      <c r="B823" s="215"/>
      <c r="C823" s="215"/>
      <c r="D823" s="215"/>
      <c r="E823" s="215"/>
      <c r="F823" s="373"/>
      <c r="G823" s="215"/>
      <c r="H823" s="215"/>
      <c r="I823" s="215"/>
      <c r="J823" s="215"/>
      <c r="K823" s="215"/>
      <c r="L823" s="45" t="str">
        <f t="shared" si="1"/>
        <v/>
      </c>
      <c r="M823" s="46" t="str">
        <f>IFERROR(__xludf.DUMMYFUNCTION("IF(Account!$F823&lt;&gt;"""", VALUE(REGEXREPLACE($I823, ""\,"", ""."")), """")"),"")</f>
        <v/>
      </c>
      <c r="N823" s="47" t="str">
        <f>IF(Account!$F823&lt;&gt;"", DATEVALUE(MID($A823,4,3) &amp; LEFT($A823,3) &amp; RIGHT($A823,4)) + TIMEVALUE($B823), "")</f>
        <v/>
      </c>
      <c r="O823" s="48" t="str">
        <f>IF(Account!$F823&lt;&gt;"", DATEVALUE(MID($A823,4,3) &amp; LEFT($A823,3) &amp; RIGHT($A823,4)), "")</f>
        <v/>
      </c>
      <c r="P823" s="49" t="str">
        <f>IFERROR(VLOOKUP($Q823,Selection!$F:$G,2,false))</f>
        <v/>
      </c>
      <c r="Q823" s="50" t="str">
        <f>IF(AND($X823="change",$H823="EUR"),IF(AND($Z823="Crédit",$N823=$N824),$Q824,IF(AND($Z823="Débit",$N823=$N822),$Q822)),IF(OR(AND(OR($E823&lt;&gt;"",$L823=""),$M823&lt;&gt;0),$A823=""),IFERROR(VLOOKUP($E823,Selection!$E:$F,2,false)),IFERROR(VLOOKUP(SUBSTITUTE($I823,"-","",1),$K824:$Q1119,7,false),VLOOKUP($K823,$K824:$Q1119,7,false))))</f>
        <v/>
      </c>
      <c r="R823" s="49" t="str">
        <f t="shared" si="2"/>
        <v/>
      </c>
      <c r="S823" s="51" t="str">
        <f t="shared" si="3"/>
        <v/>
      </c>
      <c r="T823" s="52" t="str">
        <f t="shared" si="4"/>
        <v/>
      </c>
      <c r="U823" s="46" t="str">
        <f t="shared" si="5"/>
        <v/>
      </c>
      <c r="V823" s="53" t="str">
        <f>IFERROR(__xludf.DUMMYFUNCTION(" IF(Account!$F823&lt;&gt;"""", SPLIT(Account!$F823, "" ""), """")"),"")</f>
        <v/>
      </c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</row>
    <row r="824">
      <c r="A824" s="215"/>
      <c r="B824" s="215"/>
      <c r="C824" s="215"/>
      <c r="D824" s="215"/>
      <c r="E824" s="215"/>
      <c r="F824" s="373"/>
      <c r="G824" s="215"/>
      <c r="H824" s="215"/>
      <c r="I824" s="215"/>
      <c r="J824" s="215"/>
      <c r="K824" s="215"/>
      <c r="L824" s="45" t="str">
        <f t="shared" si="1"/>
        <v/>
      </c>
      <c r="M824" s="46" t="str">
        <f>IFERROR(__xludf.DUMMYFUNCTION("IF(Account!$F824&lt;&gt;"""", VALUE(REGEXREPLACE($I824, ""\,"", ""."")), """")"),"")</f>
        <v/>
      </c>
      <c r="N824" s="47" t="str">
        <f>IF(Account!$F824&lt;&gt;"", DATEVALUE(MID($A824,4,3) &amp; LEFT($A824,3) &amp; RIGHT($A824,4)) + TIMEVALUE($B824), "")</f>
        <v/>
      </c>
      <c r="O824" s="48" t="str">
        <f>IF(Account!$F824&lt;&gt;"", DATEVALUE(MID($A824,4,3) &amp; LEFT($A824,3) &amp; RIGHT($A824,4)), "")</f>
        <v/>
      </c>
      <c r="P824" s="49" t="str">
        <f>IFERROR(VLOOKUP($Q824,Selection!$F:$G,2,false))</f>
        <v/>
      </c>
      <c r="Q824" s="50" t="str">
        <f>IF(AND($X824="change",$H824="EUR"),IF(AND($Z824="Crédit",$N824=$N825),$Q825,IF(AND($Z824="Débit",$N824=$N823),$Q823)),IF(OR(AND(OR($E824&lt;&gt;"",$L824=""),$M824&lt;&gt;0),$A824=""),IFERROR(VLOOKUP($E824,Selection!$E:$F,2,false)),IFERROR(VLOOKUP(SUBSTITUTE($I824,"-","",1),$K825:$Q1119,7,false),VLOOKUP($K824,$K825:$Q1119,7,false))))</f>
        <v/>
      </c>
      <c r="R824" s="49" t="str">
        <f t="shared" si="2"/>
        <v/>
      </c>
      <c r="S824" s="51" t="str">
        <f t="shared" si="3"/>
        <v/>
      </c>
      <c r="T824" s="52" t="str">
        <f t="shared" si="4"/>
        <v/>
      </c>
      <c r="U824" s="46" t="str">
        <f t="shared" si="5"/>
        <v/>
      </c>
      <c r="V824" s="53" t="str">
        <f>IFERROR(__xludf.DUMMYFUNCTION(" IF(Account!$F824&lt;&gt;"""", SPLIT(Account!$F824, "" ""), """")"),"")</f>
        <v/>
      </c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</row>
    <row r="825">
      <c r="A825" s="215"/>
      <c r="B825" s="215"/>
      <c r="C825" s="215"/>
      <c r="D825" s="215"/>
      <c r="E825" s="215"/>
      <c r="F825" s="373"/>
      <c r="G825" s="215"/>
      <c r="H825" s="215"/>
      <c r="I825" s="215"/>
      <c r="J825" s="215"/>
      <c r="K825" s="215"/>
      <c r="L825" s="45" t="str">
        <f t="shared" si="1"/>
        <v/>
      </c>
      <c r="M825" s="46" t="str">
        <f>IFERROR(__xludf.DUMMYFUNCTION("IF(Account!$F825&lt;&gt;"""", VALUE(REGEXREPLACE($I825, ""\,"", ""."")), """")"),"")</f>
        <v/>
      </c>
      <c r="N825" s="47" t="str">
        <f>IF(Account!$F825&lt;&gt;"", DATEVALUE(MID($A825,4,3) &amp; LEFT($A825,3) &amp; RIGHT($A825,4)) + TIMEVALUE($B825), "")</f>
        <v/>
      </c>
      <c r="O825" s="48" t="str">
        <f>IF(Account!$F825&lt;&gt;"", DATEVALUE(MID($A825,4,3) &amp; LEFT($A825,3) &amp; RIGHT($A825,4)), "")</f>
        <v/>
      </c>
      <c r="P825" s="49" t="str">
        <f>IFERROR(VLOOKUP($Q825,Selection!$F:$G,2,false))</f>
        <v/>
      </c>
      <c r="Q825" s="50" t="str">
        <f>IF(AND($X825="change",$H825="EUR"),IF(AND($Z825="Crédit",$N825=$N826),$Q826,IF(AND($Z825="Débit",$N825=$N824),$Q824)),IF(OR(AND(OR($E825&lt;&gt;"",$L825=""),$M825&lt;&gt;0),$A825=""),IFERROR(VLOOKUP($E825,Selection!$E:$F,2,false)),IFERROR(VLOOKUP(SUBSTITUTE($I825,"-","",1),$K826:$Q1119,7,false),VLOOKUP($K825,$K826:$Q1119,7,false))))</f>
        <v/>
      </c>
      <c r="R825" s="49" t="str">
        <f t="shared" si="2"/>
        <v/>
      </c>
      <c r="S825" s="51" t="str">
        <f t="shared" si="3"/>
        <v/>
      </c>
      <c r="T825" s="52" t="str">
        <f t="shared" si="4"/>
        <v/>
      </c>
      <c r="U825" s="46" t="str">
        <f t="shared" si="5"/>
        <v/>
      </c>
      <c r="V825" s="53" t="str">
        <f>IFERROR(__xludf.DUMMYFUNCTION(" IF(Account!$F825&lt;&gt;"""", SPLIT(Account!$F825, "" ""), """")"),"")</f>
        <v/>
      </c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</row>
    <row r="826">
      <c r="A826" s="215"/>
      <c r="B826" s="215"/>
      <c r="C826" s="215"/>
      <c r="D826" s="215"/>
      <c r="E826" s="215"/>
      <c r="F826" s="373"/>
      <c r="G826" s="215"/>
      <c r="H826" s="215"/>
      <c r="I826" s="215"/>
      <c r="J826" s="215"/>
      <c r="K826" s="215"/>
      <c r="L826" s="45" t="str">
        <f t="shared" si="1"/>
        <v/>
      </c>
      <c r="M826" s="46" t="str">
        <f>IFERROR(__xludf.DUMMYFUNCTION("IF(Account!$F826&lt;&gt;"""", VALUE(REGEXREPLACE($I826, ""\,"", ""."")), """")"),"")</f>
        <v/>
      </c>
      <c r="N826" s="47" t="str">
        <f>IF(Account!$F826&lt;&gt;"", DATEVALUE(MID($A826,4,3) &amp; LEFT($A826,3) &amp; RIGHT($A826,4)) + TIMEVALUE($B826), "")</f>
        <v/>
      </c>
      <c r="O826" s="48" t="str">
        <f>IF(Account!$F826&lt;&gt;"", DATEVALUE(MID($A826,4,3) &amp; LEFT($A826,3) &amp; RIGHT($A826,4)), "")</f>
        <v/>
      </c>
      <c r="P826" s="49" t="str">
        <f>IFERROR(VLOOKUP($Q826,Selection!$F:$G,2,false))</f>
        <v/>
      </c>
      <c r="Q826" s="50" t="str">
        <f>IF(AND($X826="change",$H826="EUR"),IF(AND($Z826="Crédit",$N826=$N827),$Q827,IF(AND($Z826="Débit",$N826=$N825),$Q825)),IF(OR(AND(OR($E826&lt;&gt;"",$L826=""),$M826&lt;&gt;0),$A826=""),IFERROR(VLOOKUP($E826,Selection!$E:$F,2,false)),IFERROR(VLOOKUP(SUBSTITUTE($I826,"-","",1),$K827:$Q1119,7,false),VLOOKUP($K826,$K827:$Q1119,7,false))))</f>
        <v/>
      </c>
      <c r="R826" s="49" t="str">
        <f t="shared" si="2"/>
        <v/>
      </c>
      <c r="S826" s="51" t="str">
        <f t="shared" si="3"/>
        <v/>
      </c>
      <c r="T826" s="52" t="str">
        <f t="shared" si="4"/>
        <v/>
      </c>
      <c r="U826" s="46" t="str">
        <f t="shared" si="5"/>
        <v/>
      </c>
      <c r="V826" s="53" t="str">
        <f>IFERROR(__xludf.DUMMYFUNCTION(" IF(Account!$F826&lt;&gt;"""", SPLIT(Account!$F826, "" ""), """")"),"")</f>
        <v/>
      </c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</row>
    <row r="827">
      <c r="A827" s="215"/>
      <c r="B827" s="215"/>
      <c r="C827" s="215"/>
      <c r="D827" s="215"/>
      <c r="E827" s="215"/>
      <c r="F827" s="373"/>
      <c r="G827" s="215"/>
      <c r="H827" s="215"/>
      <c r="I827" s="215"/>
      <c r="J827" s="215"/>
      <c r="K827" s="215"/>
      <c r="L827" s="45" t="str">
        <f t="shared" si="1"/>
        <v/>
      </c>
      <c r="M827" s="46" t="str">
        <f>IFERROR(__xludf.DUMMYFUNCTION("IF(Account!$F827&lt;&gt;"""", VALUE(REGEXREPLACE($I827, ""\,"", ""."")), """")"),"")</f>
        <v/>
      </c>
      <c r="N827" s="47" t="str">
        <f>IF(Account!$F827&lt;&gt;"", DATEVALUE(MID($A827,4,3) &amp; LEFT($A827,3) &amp; RIGHT($A827,4)) + TIMEVALUE($B827), "")</f>
        <v/>
      </c>
      <c r="O827" s="48" t="str">
        <f>IF(Account!$F827&lt;&gt;"", DATEVALUE(MID($A827,4,3) &amp; LEFT($A827,3) &amp; RIGHT($A827,4)), "")</f>
        <v/>
      </c>
      <c r="P827" s="49" t="str">
        <f>IFERROR(VLOOKUP($Q827,Selection!$F:$G,2,false))</f>
        <v/>
      </c>
      <c r="Q827" s="50" t="str">
        <f>IF(AND($X827="change",$H827="EUR"),IF(AND($Z827="Crédit",$N827=$N828),$Q828,IF(AND($Z827="Débit",$N827=$N826),$Q826)),IF(OR(AND(OR($E827&lt;&gt;"",$L827=""),$M827&lt;&gt;0),$A827=""),IFERROR(VLOOKUP($E827,Selection!$E:$F,2,false)),IFERROR(VLOOKUP(SUBSTITUTE($I827,"-","",1),$K828:$Q1119,7,false),VLOOKUP($K827,$K828:$Q1119,7,false))))</f>
        <v/>
      </c>
      <c r="R827" s="49" t="str">
        <f t="shared" si="2"/>
        <v/>
      </c>
      <c r="S827" s="51" t="str">
        <f t="shared" si="3"/>
        <v/>
      </c>
      <c r="T827" s="52" t="str">
        <f t="shared" si="4"/>
        <v/>
      </c>
      <c r="U827" s="46" t="str">
        <f t="shared" si="5"/>
        <v/>
      </c>
      <c r="V827" s="53" t="str">
        <f>IFERROR(__xludf.DUMMYFUNCTION(" IF(Account!$F827&lt;&gt;"""", SPLIT(Account!$F827, "" ""), """")"),"")</f>
        <v/>
      </c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</row>
    <row r="828">
      <c r="A828" s="215"/>
      <c r="B828" s="215"/>
      <c r="C828" s="215"/>
      <c r="D828" s="215"/>
      <c r="E828" s="215"/>
      <c r="F828" s="373"/>
      <c r="G828" s="215"/>
      <c r="H828" s="215"/>
      <c r="I828" s="215"/>
      <c r="J828" s="215"/>
      <c r="K828" s="215"/>
      <c r="L828" s="45" t="str">
        <f t="shared" si="1"/>
        <v/>
      </c>
      <c r="M828" s="46" t="str">
        <f>IFERROR(__xludf.DUMMYFUNCTION("IF(Account!$F828&lt;&gt;"""", VALUE(REGEXREPLACE($I828, ""\,"", ""."")), """")"),"")</f>
        <v/>
      </c>
      <c r="N828" s="47" t="str">
        <f>IF(Account!$F828&lt;&gt;"", DATEVALUE(MID($A828,4,3) &amp; LEFT($A828,3) &amp; RIGHT($A828,4)) + TIMEVALUE($B828), "")</f>
        <v/>
      </c>
      <c r="O828" s="48" t="str">
        <f>IF(Account!$F828&lt;&gt;"", DATEVALUE(MID($A828,4,3) &amp; LEFT($A828,3) &amp; RIGHT($A828,4)), "")</f>
        <v/>
      </c>
      <c r="P828" s="49" t="str">
        <f>IFERROR(VLOOKUP($Q828,Selection!$F:$G,2,false))</f>
        <v/>
      </c>
      <c r="Q828" s="50" t="str">
        <f>IF(AND($X828="change",$H828="EUR"),IF(AND($Z828="Crédit",$N828=$N829),$Q829,IF(AND($Z828="Débit",$N828=$N827),$Q827)),IF(OR(AND(OR($E828&lt;&gt;"",$L828=""),$M828&lt;&gt;0),$A828=""),IFERROR(VLOOKUP($E828,Selection!$E:$F,2,false)),IFERROR(VLOOKUP(SUBSTITUTE($I828,"-","",1),$K829:$Q1119,7,false),VLOOKUP($K828,$K829:$Q1119,7,false))))</f>
        <v/>
      </c>
      <c r="R828" s="49" t="str">
        <f t="shared" si="2"/>
        <v/>
      </c>
      <c r="S828" s="51" t="str">
        <f t="shared" si="3"/>
        <v/>
      </c>
      <c r="T828" s="52" t="str">
        <f t="shared" si="4"/>
        <v/>
      </c>
      <c r="U828" s="46" t="str">
        <f t="shared" si="5"/>
        <v/>
      </c>
      <c r="V828" s="53" t="str">
        <f>IFERROR(__xludf.DUMMYFUNCTION(" IF(Account!$F828&lt;&gt;"""", SPLIT(Account!$F828, "" ""), """")"),"")</f>
        <v/>
      </c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</row>
    <row r="829">
      <c r="A829" s="215"/>
      <c r="B829" s="215"/>
      <c r="C829" s="215"/>
      <c r="D829" s="215"/>
      <c r="E829" s="215"/>
      <c r="F829" s="373"/>
      <c r="G829" s="215"/>
      <c r="H829" s="215"/>
      <c r="I829" s="215"/>
      <c r="J829" s="215"/>
      <c r="K829" s="215"/>
      <c r="L829" s="45" t="str">
        <f t="shared" si="1"/>
        <v/>
      </c>
      <c r="M829" s="46" t="str">
        <f>IFERROR(__xludf.DUMMYFUNCTION("IF(Account!$F829&lt;&gt;"""", VALUE(REGEXREPLACE($I829, ""\,"", ""."")), """")"),"")</f>
        <v/>
      </c>
      <c r="N829" s="47" t="str">
        <f>IF(Account!$F829&lt;&gt;"", DATEVALUE(MID($A829,4,3) &amp; LEFT($A829,3) &amp; RIGHT($A829,4)) + TIMEVALUE($B829), "")</f>
        <v/>
      </c>
      <c r="O829" s="48" t="str">
        <f>IF(Account!$F829&lt;&gt;"", DATEVALUE(MID($A829,4,3) &amp; LEFT($A829,3) &amp; RIGHT($A829,4)), "")</f>
        <v/>
      </c>
      <c r="P829" s="49" t="str">
        <f>IFERROR(VLOOKUP($Q829,Selection!$F:$G,2,false))</f>
        <v/>
      </c>
      <c r="Q829" s="50" t="str">
        <f>IF(AND($X829="change",$H829="EUR"),IF(AND($Z829="Crédit",$N829=$N830),$Q830,IF(AND($Z829="Débit",$N829=$N828),$Q828)),IF(OR(AND(OR($E829&lt;&gt;"",$L829=""),$M829&lt;&gt;0),$A829=""),IFERROR(VLOOKUP($E829,Selection!$E:$F,2,false)),IFERROR(VLOOKUP(SUBSTITUTE($I829,"-","",1),$K830:$Q1119,7,false),VLOOKUP($K829,$K830:$Q1119,7,false))))</f>
        <v/>
      </c>
      <c r="R829" s="49" t="str">
        <f t="shared" si="2"/>
        <v/>
      </c>
      <c r="S829" s="51" t="str">
        <f t="shared" si="3"/>
        <v/>
      </c>
      <c r="T829" s="52" t="str">
        <f t="shared" si="4"/>
        <v/>
      </c>
      <c r="U829" s="46" t="str">
        <f t="shared" si="5"/>
        <v/>
      </c>
      <c r="V829" s="53" t="str">
        <f>IFERROR(__xludf.DUMMYFUNCTION(" IF(Account!$F829&lt;&gt;"""", SPLIT(Account!$F829, "" ""), """")"),"")</f>
        <v/>
      </c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</row>
    <row r="830">
      <c r="A830" s="215"/>
      <c r="B830" s="215"/>
      <c r="C830" s="215"/>
      <c r="D830" s="215"/>
      <c r="E830" s="215"/>
      <c r="F830" s="373"/>
      <c r="G830" s="215"/>
      <c r="H830" s="215"/>
      <c r="I830" s="215"/>
      <c r="J830" s="215"/>
      <c r="K830" s="215"/>
      <c r="L830" s="45" t="str">
        <f t="shared" si="1"/>
        <v/>
      </c>
      <c r="M830" s="46" t="str">
        <f>IFERROR(__xludf.DUMMYFUNCTION("IF(Account!$F830&lt;&gt;"""", VALUE(REGEXREPLACE($I830, ""\,"", ""."")), """")"),"")</f>
        <v/>
      </c>
      <c r="N830" s="47" t="str">
        <f>IF(Account!$F830&lt;&gt;"", DATEVALUE(MID($A830,4,3) &amp; LEFT($A830,3) &amp; RIGHT($A830,4)) + TIMEVALUE($B830), "")</f>
        <v/>
      </c>
      <c r="O830" s="48" t="str">
        <f>IF(Account!$F830&lt;&gt;"", DATEVALUE(MID($A830,4,3) &amp; LEFT($A830,3) &amp; RIGHT($A830,4)), "")</f>
        <v/>
      </c>
      <c r="P830" s="49" t="str">
        <f>IFERROR(VLOOKUP($Q830,Selection!$F:$G,2,false))</f>
        <v/>
      </c>
      <c r="Q830" s="50" t="str">
        <f>IF(AND($X830="change",$H830="EUR"),IF(AND($Z830="Crédit",$N830=$N831),$Q831,IF(AND($Z830="Débit",$N830=$N829),$Q829)),IF(OR(AND(OR($E830&lt;&gt;"",$L830=""),$M830&lt;&gt;0),$A830=""),IFERROR(VLOOKUP($E830,Selection!$E:$F,2,false)),IFERROR(VLOOKUP(SUBSTITUTE($I830,"-","",1),$K831:$Q1119,7,false),VLOOKUP($K830,$K831:$Q1119,7,false))))</f>
        <v/>
      </c>
      <c r="R830" s="49" t="str">
        <f t="shared" si="2"/>
        <v/>
      </c>
      <c r="S830" s="51" t="str">
        <f t="shared" si="3"/>
        <v/>
      </c>
      <c r="T830" s="52" t="str">
        <f t="shared" si="4"/>
        <v/>
      </c>
      <c r="U830" s="46" t="str">
        <f t="shared" si="5"/>
        <v/>
      </c>
      <c r="V830" s="53" t="str">
        <f>IFERROR(__xludf.DUMMYFUNCTION(" IF(Account!$F830&lt;&gt;"""", SPLIT(Account!$F830, "" ""), """")"),"")</f>
        <v/>
      </c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</row>
    <row r="831">
      <c r="A831" s="215"/>
      <c r="B831" s="215"/>
      <c r="C831" s="215"/>
      <c r="D831" s="215"/>
      <c r="E831" s="215"/>
      <c r="F831" s="373"/>
      <c r="G831" s="215"/>
      <c r="H831" s="215"/>
      <c r="I831" s="215"/>
      <c r="J831" s="215"/>
      <c r="K831" s="215"/>
      <c r="L831" s="45" t="str">
        <f t="shared" si="1"/>
        <v/>
      </c>
      <c r="M831" s="46" t="str">
        <f>IFERROR(__xludf.DUMMYFUNCTION("IF(Account!$F831&lt;&gt;"""", VALUE(REGEXREPLACE($I831, ""\,"", ""."")), """")"),"")</f>
        <v/>
      </c>
      <c r="N831" s="47" t="str">
        <f>IF(Account!$F831&lt;&gt;"", DATEVALUE(MID($A831,4,3) &amp; LEFT($A831,3) &amp; RIGHT($A831,4)) + TIMEVALUE($B831), "")</f>
        <v/>
      </c>
      <c r="O831" s="48" t="str">
        <f>IF(Account!$F831&lt;&gt;"", DATEVALUE(MID($A831,4,3) &amp; LEFT($A831,3) &amp; RIGHT($A831,4)), "")</f>
        <v/>
      </c>
      <c r="P831" s="49" t="str">
        <f>IFERROR(VLOOKUP($Q831,Selection!$F:$G,2,false))</f>
        <v/>
      </c>
      <c r="Q831" s="50" t="str">
        <f>IF(AND($X831="change",$H831="EUR"),IF(AND($Z831="Crédit",$N831=$N832),$Q832,IF(AND($Z831="Débit",$N831=$N830),$Q830)),IF(OR(AND(OR($E831&lt;&gt;"",$L831=""),$M831&lt;&gt;0),$A831=""),IFERROR(VLOOKUP($E831,Selection!$E:$F,2,false)),IFERROR(VLOOKUP(SUBSTITUTE($I831,"-","",1),$K832:$Q1119,7,false),VLOOKUP($K831,$K832:$Q1119,7,false))))</f>
        <v/>
      </c>
      <c r="R831" s="49" t="str">
        <f t="shared" si="2"/>
        <v/>
      </c>
      <c r="S831" s="51" t="str">
        <f t="shared" si="3"/>
        <v/>
      </c>
      <c r="T831" s="52" t="str">
        <f t="shared" si="4"/>
        <v/>
      </c>
      <c r="U831" s="46" t="str">
        <f t="shared" si="5"/>
        <v/>
      </c>
      <c r="V831" s="53" t="str">
        <f>IFERROR(__xludf.DUMMYFUNCTION(" IF(Account!$F831&lt;&gt;"""", SPLIT(Account!$F831, "" ""), """")"),"")</f>
        <v/>
      </c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</row>
    <row r="832">
      <c r="A832" s="215"/>
      <c r="B832" s="215"/>
      <c r="C832" s="215"/>
      <c r="D832" s="215"/>
      <c r="E832" s="215"/>
      <c r="F832" s="373"/>
      <c r="G832" s="215"/>
      <c r="H832" s="215"/>
      <c r="I832" s="215"/>
      <c r="J832" s="215"/>
      <c r="K832" s="215"/>
      <c r="L832" s="45" t="str">
        <f t="shared" si="1"/>
        <v/>
      </c>
      <c r="M832" s="46" t="str">
        <f>IFERROR(__xludf.DUMMYFUNCTION("IF(Account!$F832&lt;&gt;"""", VALUE(REGEXREPLACE($I832, ""\,"", ""."")), """")"),"")</f>
        <v/>
      </c>
      <c r="N832" s="47" t="str">
        <f>IF(Account!$F832&lt;&gt;"", DATEVALUE(MID($A832,4,3) &amp; LEFT($A832,3) &amp; RIGHT($A832,4)) + TIMEVALUE($B832), "")</f>
        <v/>
      </c>
      <c r="O832" s="48" t="str">
        <f>IF(Account!$F832&lt;&gt;"", DATEVALUE(MID($A832,4,3) &amp; LEFT($A832,3) &amp; RIGHT($A832,4)), "")</f>
        <v/>
      </c>
      <c r="P832" s="49" t="str">
        <f>IFERROR(VLOOKUP($Q832,Selection!$F:$G,2,false))</f>
        <v/>
      </c>
      <c r="Q832" s="50" t="str">
        <f>IF(AND($X832="change",$H832="EUR"),IF(AND($Z832="Crédit",$N832=$N833),$Q833,IF(AND($Z832="Débit",$N832=$N831),$Q831)),IF(OR(AND(OR($E832&lt;&gt;"",$L832=""),$M832&lt;&gt;0),$A832=""),IFERROR(VLOOKUP($E832,Selection!$E:$F,2,false)),IFERROR(VLOOKUP(SUBSTITUTE($I832,"-","",1),$K833:$Q1119,7,false),VLOOKUP($K832,$K833:$Q1119,7,false))))</f>
        <v/>
      </c>
      <c r="R832" s="49" t="str">
        <f t="shared" si="2"/>
        <v/>
      </c>
      <c r="S832" s="51" t="str">
        <f t="shared" si="3"/>
        <v/>
      </c>
      <c r="T832" s="52" t="str">
        <f t="shared" si="4"/>
        <v/>
      </c>
      <c r="U832" s="46" t="str">
        <f t="shared" si="5"/>
        <v/>
      </c>
      <c r="V832" s="53" t="str">
        <f>IFERROR(__xludf.DUMMYFUNCTION(" IF(Account!$F832&lt;&gt;"""", SPLIT(Account!$F832, "" ""), """")"),"")</f>
        <v/>
      </c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</row>
    <row r="833">
      <c r="A833" s="215"/>
      <c r="B833" s="215"/>
      <c r="C833" s="215"/>
      <c r="D833" s="215"/>
      <c r="E833" s="215"/>
      <c r="F833" s="373"/>
      <c r="G833" s="215"/>
      <c r="H833" s="215"/>
      <c r="I833" s="215"/>
      <c r="J833" s="215"/>
      <c r="K833" s="215"/>
      <c r="L833" s="45" t="str">
        <f t="shared" si="1"/>
        <v/>
      </c>
      <c r="M833" s="46" t="str">
        <f>IFERROR(__xludf.DUMMYFUNCTION("IF(Account!$F833&lt;&gt;"""", VALUE(REGEXREPLACE($I833, ""\,"", ""."")), """")"),"")</f>
        <v/>
      </c>
      <c r="N833" s="47" t="str">
        <f>IF(Account!$F833&lt;&gt;"", DATEVALUE(MID($A833,4,3) &amp; LEFT($A833,3) &amp; RIGHT($A833,4)) + TIMEVALUE($B833), "")</f>
        <v/>
      </c>
      <c r="O833" s="48" t="str">
        <f>IF(Account!$F833&lt;&gt;"", DATEVALUE(MID($A833,4,3) &amp; LEFT($A833,3) &amp; RIGHT($A833,4)), "")</f>
        <v/>
      </c>
      <c r="P833" s="49" t="str">
        <f>IFERROR(VLOOKUP($Q833,Selection!$F:$G,2,false))</f>
        <v/>
      </c>
      <c r="Q833" s="50" t="str">
        <f>IF(AND($X833="change",$H833="EUR"),IF(AND($Z833="Crédit",$N833=$N834),$Q834,IF(AND($Z833="Débit",$N833=$N832),$Q832)),IF(OR(AND(OR($E833&lt;&gt;"",$L833=""),$M833&lt;&gt;0),$A833=""),IFERROR(VLOOKUP($E833,Selection!$E:$F,2,false)),IFERROR(VLOOKUP(SUBSTITUTE($I833,"-","",1),$K834:$Q1119,7,false),VLOOKUP($K833,$K834:$Q1119,7,false))))</f>
        <v/>
      </c>
      <c r="R833" s="49" t="str">
        <f t="shared" si="2"/>
        <v/>
      </c>
      <c r="S833" s="51" t="str">
        <f t="shared" si="3"/>
        <v/>
      </c>
      <c r="T833" s="52" t="str">
        <f t="shared" si="4"/>
        <v/>
      </c>
      <c r="U833" s="46" t="str">
        <f t="shared" si="5"/>
        <v/>
      </c>
      <c r="V833" s="53" t="str">
        <f>IFERROR(__xludf.DUMMYFUNCTION(" IF(Account!$F833&lt;&gt;"""", SPLIT(Account!$F833, "" ""), """")"),"")</f>
        <v/>
      </c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</row>
    <row r="834">
      <c r="A834" s="215"/>
      <c r="B834" s="215"/>
      <c r="C834" s="215"/>
      <c r="D834" s="215"/>
      <c r="E834" s="215"/>
      <c r="F834" s="373"/>
      <c r="G834" s="215"/>
      <c r="H834" s="215"/>
      <c r="I834" s="215"/>
      <c r="J834" s="215"/>
      <c r="K834" s="215"/>
      <c r="L834" s="45" t="str">
        <f t="shared" si="1"/>
        <v/>
      </c>
      <c r="M834" s="46" t="str">
        <f>IFERROR(__xludf.DUMMYFUNCTION("IF(Account!$F834&lt;&gt;"""", VALUE(REGEXREPLACE($I834, ""\,"", ""."")), """")"),"")</f>
        <v/>
      </c>
      <c r="N834" s="47" t="str">
        <f>IF(Account!$F834&lt;&gt;"", DATEVALUE(MID($A834,4,3) &amp; LEFT($A834,3) &amp; RIGHT($A834,4)) + TIMEVALUE($B834), "")</f>
        <v/>
      </c>
      <c r="O834" s="48" t="str">
        <f>IF(Account!$F834&lt;&gt;"", DATEVALUE(MID($A834,4,3) &amp; LEFT($A834,3) &amp; RIGHT($A834,4)), "")</f>
        <v/>
      </c>
      <c r="P834" s="49" t="str">
        <f>IFERROR(VLOOKUP($Q834,Selection!$F:$G,2,false))</f>
        <v/>
      </c>
      <c r="Q834" s="50" t="str">
        <f>IF(AND($X834="change",$H834="EUR"),IF(AND($Z834="Crédit",$N834=$N835),$Q835,IF(AND($Z834="Débit",$N834=$N833),$Q833)),IF(OR(AND(OR($E834&lt;&gt;"",$L834=""),$M834&lt;&gt;0),$A834=""),IFERROR(VLOOKUP($E834,Selection!$E:$F,2,false)),IFERROR(VLOOKUP(SUBSTITUTE($I834,"-","",1),$K835:$Q1119,7,false),VLOOKUP($K834,$K835:$Q1119,7,false))))</f>
        <v/>
      </c>
      <c r="R834" s="49" t="str">
        <f t="shared" si="2"/>
        <v/>
      </c>
      <c r="S834" s="51" t="str">
        <f t="shared" si="3"/>
        <v/>
      </c>
      <c r="T834" s="52" t="str">
        <f t="shared" si="4"/>
        <v/>
      </c>
      <c r="U834" s="46" t="str">
        <f t="shared" si="5"/>
        <v/>
      </c>
      <c r="V834" s="53" t="str">
        <f>IFERROR(__xludf.DUMMYFUNCTION(" IF(Account!$F834&lt;&gt;"""", SPLIT(Account!$F834, "" ""), """")"),"")</f>
        <v/>
      </c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</row>
    <row r="835">
      <c r="A835" s="215"/>
      <c r="B835" s="215"/>
      <c r="C835" s="215"/>
      <c r="D835" s="215"/>
      <c r="E835" s="215"/>
      <c r="F835" s="373"/>
      <c r="G835" s="215"/>
      <c r="H835" s="215"/>
      <c r="I835" s="215"/>
      <c r="J835" s="215"/>
      <c r="K835" s="215"/>
      <c r="L835" s="45" t="str">
        <f t="shared" si="1"/>
        <v/>
      </c>
      <c r="M835" s="46" t="str">
        <f>IFERROR(__xludf.DUMMYFUNCTION("IF(Account!$F835&lt;&gt;"""", VALUE(REGEXREPLACE($I835, ""\,"", ""."")), """")"),"")</f>
        <v/>
      </c>
      <c r="N835" s="47" t="str">
        <f>IF(Account!$F835&lt;&gt;"", DATEVALUE(MID($A835,4,3) &amp; LEFT($A835,3) &amp; RIGHT($A835,4)) + TIMEVALUE($B835), "")</f>
        <v/>
      </c>
      <c r="O835" s="48" t="str">
        <f>IF(Account!$F835&lt;&gt;"", DATEVALUE(MID($A835,4,3) &amp; LEFT($A835,3) &amp; RIGHT($A835,4)), "")</f>
        <v/>
      </c>
      <c r="P835" s="49" t="str">
        <f>IFERROR(VLOOKUP($Q835,Selection!$F:$G,2,false))</f>
        <v/>
      </c>
      <c r="Q835" s="50" t="str">
        <f>IF(AND($X835="change",$H835="EUR"),IF(AND($Z835="Crédit",$N835=$N836),$Q836,IF(AND($Z835="Débit",$N835=$N834),$Q834)),IF(OR(AND(OR($E835&lt;&gt;"",$L835=""),$M835&lt;&gt;0),$A835=""),IFERROR(VLOOKUP($E835,Selection!$E:$F,2,false)),IFERROR(VLOOKUP(SUBSTITUTE($I835,"-","",1),$K836:$Q1119,7,false),VLOOKUP($K835,$K836:$Q1119,7,false))))</f>
        <v/>
      </c>
      <c r="R835" s="49" t="str">
        <f t="shared" si="2"/>
        <v/>
      </c>
      <c r="S835" s="51" t="str">
        <f t="shared" si="3"/>
        <v/>
      </c>
      <c r="T835" s="52" t="str">
        <f t="shared" si="4"/>
        <v/>
      </c>
      <c r="U835" s="46" t="str">
        <f t="shared" si="5"/>
        <v/>
      </c>
      <c r="V835" s="53" t="str">
        <f>IFERROR(__xludf.DUMMYFUNCTION(" IF(Account!$F835&lt;&gt;"""", SPLIT(Account!$F835, "" ""), """")"),"")</f>
        <v/>
      </c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</row>
    <row r="836">
      <c r="A836" s="215"/>
      <c r="B836" s="215"/>
      <c r="C836" s="215"/>
      <c r="D836" s="215"/>
      <c r="E836" s="215"/>
      <c r="F836" s="373"/>
      <c r="G836" s="215"/>
      <c r="H836" s="215"/>
      <c r="I836" s="215"/>
      <c r="J836" s="215"/>
      <c r="K836" s="215"/>
      <c r="L836" s="45" t="str">
        <f t="shared" si="1"/>
        <v/>
      </c>
      <c r="M836" s="46" t="str">
        <f>IFERROR(__xludf.DUMMYFUNCTION("IF(Account!$F836&lt;&gt;"""", VALUE(REGEXREPLACE($I836, ""\,"", ""."")), """")"),"")</f>
        <v/>
      </c>
      <c r="N836" s="47" t="str">
        <f>IF(Account!$F836&lt;&gt;"", DATEVALUE(MID($A836,4,3) &amp; LEFT($A836,3) &amp; RIGHT($A836,4)) + TIMEVALUE($B836), "")</f>
        <v/>
      </c>
      <c r="O836" s="48" t="str">
        <f>IF(Account!$F836&lt;&gt;"", DATEVALUE(MID($A836,4,3) &amp; LEFT($A836,3) &amp; RIGHT($A836,4)), "")</f>
        <v/>
      </c>
      <c r="P836" s="49" t="str">
        <f>IFERROR(VLOOKUP($Q836,Selection!$F:$G,2,false))</f>
        <v/>
      </c>
      <c r="Q836" s="50" t="str">
        <f>IF(AND($X836="change",$H836="EUR"),IF(AND($Z836="Crédit",$N836=$N837),$Q837,IF(AND($Z836="Débit",$N836=$N835),$Q835)),IF(OR(AND(OR($E836&lt;&gt;"",$L836=""),$M836&lt;&gt;0),$A836=""),IFERROR(VLOOKUP($E836,Selection!$E:$F,2,false)),IFERROR(VLOOKUP(SUBSTITUTE($I836,"-","",1),$K837:$Q1119,7,false),VLOOKUP($K836,$K837:$Q1119,7,false))))</f>
        <v/>
      </c>
      <c r="R836" s="49" t="str">
        <f t="shared" si="2"/>
        <v/>
      </c>
      <c r="S836" s="51" t="str">
        <f t="shared" si="3"/>
        <v/>
      </c>
      <c r="T836" s="52" t="str">
        <f t="shared" si="4"/>
        <v/>
      </c>
      <c r="U836" s="46" t="str">
        <f t="shared" si="5"/>
        <v/>
      </c>
      <c r="V836" s="53" t="str">
        <f>IFERROR(__xludf.DUMMYFUNCTION(" IF(Account!$F836&lt;&gt;"""", SPLIT(Account!$F836, "" ""), """")"),"")</f>
        <v/>
      </c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</row>
    <row r="837">
      <c r="A837" s="215"/>
      <c r="B837" s="215"/>
      <c r="C837" s="215"/>
      <c r="D837" s="215"/>
      <c r="E837" s="215"/>
      <c r="F837" s="373"/>
      <c r="G837" s="215"/>
      <c r="H837" s="215"/>
      <c r="I837" s="215"/>
      <c r="J837" s="215"/>
      <c r="K837" s="215"/>
      <c r="L837" s="45" t="str">
        <f t="shared" si="1"/>
        <v/>
      </c>
      <c r="M837" s="46" t="str">
        <f>IFERROR(__xludf.DUMMYFUNCTION("IF(Account!$F837&lt;&gt;"""", VALUE(REGEXREPLACE($I837, ""\,"", ""."")), """")"),"")</f>
        <v/>
      </c>
      <c r="N837" s="47" t="str">
        <f>IF(Account!$F837&lt;&gt;"", DATEVALUE(MID($A837,4,3) &amp; LEFT($A837,3) &amp; RIGHT($A837,4)) + TIMEVALUE($B837), "")</f>
        <v/>
      </c>
      <c r="O837" s="48" t="str">
        <f>IF(Account!$F837&lt;&gt;"", DATEVALUE(MID($A837,4,3) &amp; LEFT($A837,3) &amp; RIGHT($A837,4)), "")</f>
        <v/>
      </c>
      <c r="P837" s="49" t="str">
        <f>IFERROR(VLOOKUP($Q837,Selection!$F:$G,2,false))</f>
        <v/>
      </c>
      <c r="Q837" s="50" t="str">
        <f>IF(AND($X837="change",$H837="EUR"),IF(AND($Z837="Crédit",$N837=$N838),$Q838,IF(AND($Z837="Débit",$N837=$N836),$Q836)),IF(OR(AND(OR($E837&lt;&gt;"",$L837=""),$M837&lt;&gt;0),$A837=""),IFERROR(VLOOKUP($E837,Selection!$E:$F,2,false)),IFERROR(VLOOKUP(SUBSTITUTE($I837,"-","",1),$K838:$Q1119,7,false),VLOOKUP($K837,$K838:$Q1119,7,false))))</f>
        <v/>
      </c>
      <c r="R837" s="49" t="str">
        <f t="shared" si="2"/>
        <v/>
      </c>
      <c r="S837" s="51" t="str">
        <f t="shared" si="3"/>
        <v/>
      </c>
      <c r="T837" s="52" t="str">
        <f t="shared" si="4"/>
        <v/>
      </c>
      <c r="U837" s="46" t="str">
        <f t="shared" si="5"/>
        <v/>
      </c>
      <c r="V837" s="53" t="str">
        <f>IFERROR(__xludf.DUMMYFUNCTION(" IF(Account!$F837&lt;&gt;"""", SPLIT(Account!$F837, "" ""), """")"),"")</f>
        <v/>
      </c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</row>
    <row r="838">
      <c r="A838" s="215"/>
      <c r="B838" s="215"/>
      <c r="C838" s="215"/>
      <c r="D838" s="215"/>
      <c r="E838" s="215"/>
      <c r="F838" s="373"/>
      <c r="G838" s="215"/>
      <c r="H838" s="215"/>
      <c r="I838" s="215"/>
      <c r="J838" s="215"/>
      <c r="K838" s="215"/>
      <c r="L838" s="45" t="str">
        <f t="shared" si="1"/>
        <v/>
      </c>
      <c r="M838" s="46" t="str">
        <f>IFERROR(__xludf.DUMMYFUNCTION("IF(Account!$F838&lt;&gt;"""", VALUE(REGEXREPLACE($I838, ""\,"", ""."")), """")"),"")</f>
        <v/>
      </c>
      <c r="N838" s="47" t="str">
        <f>IF(Account!$F838&lt;&gt;"", DATEVALUE(MID($A838,4,3) &amp; LEFT($A838,3) &amp; RIGHT($A838,4)) + TIMEVALUE($B838), "")</f>
        <v/>
      </c>
      <c r="O838" s="48" t="str">
        <f>IF(Account!$F838&lt;&gt;"", DATEVALUE(MID($A838,4,3) &amp; LEFT($A838,3) &amp; RIGHT($A838,4)), "")</f>
        <v/>
      </c>
      <c r="P838" s="49" t="str">
        <f>IFERROR(VLOOKUP($Q838,Selection!$F:$G,2,false))</f>
        <v/>
      </c>
      <c r="Q838" s="50" t="str">
        <f>IF(AND($X838="change",$H838="EUR"),IF(AND($Z838="Crédit",$N838=$N839),$Q839,IF(AND($Z838="Débit",$N838=$N837),$Q837)),IF(OR(AND(OR($E838&lt;&gt;"",$L838=""),$M838&lt;&gt;0),$A838=""),IFERROR(VLOOKUP($E838,Selection!$E:$F,2,false)),IFERROR(VLOOKUP(SUBSTITUTE($I838,"-","",1),$K839:$Q1119,7,false),VLOOKUP($K838,$K839:$Q1119,7,false))))</f>
        <v/>
      </c>
      <c r="R838" s="49" t="str">
        <f t="shared" si="2"/>
        <v/>
      </c>
      <c r="S838" s="51" t="str">
        <f t="shared" si="3"/>
        <v/>
      </c>
      <c r="T838" s="52" t="str">
        <f t="shared" si="4"/>
        <v/>
      </c>
      <c r="U838" s="46" t="str">
        <f t="shared" si="5"/>
        <v/>
      </c>
      <c r="V838" s="53" t="str">
        <f>IFERROR(__xludf.DUMMYFUNCTION(" IF(Account!$F838&lt;&gt;"""", SPLIT(Account!$F838, "" ""), """")"),"")</f>
        <v/>
      </c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</row>
    <row r="839">
      <c r="A839" s="215"/>
      <c r="B839" s="215"/>
      <c r="C839" s="215"/>
      <c r="D839" s="215"/>
      <c r="E839" s="215"/>
      <c r="F839" s="373"/>
      <c r="G839" s="215"/>
      <c r="H839" s="215"/>
      <c r="I839" s="215"/>
      <c r="J839" s="215"/>
      <c r="K839" s="215"/>
      <c r="L839" s="45" t="str">
        <f t="shared" si="1"/>
        <v/>
      </c>
      <c r="M839" s="46" t="str">
        <f>IFERROR(__xludf.DUMMYFUNCTION("IF(Account!$F839&lt;&gt;"""", VALUE(REGEXREPLACE($I839, ""\,"", ""."")), """")"),"")</f>
        <v/>
      </c>
      <c r="N839" s="47" t="str">
        <f>IF(Account!$F839&lt;&gt;"", DATEVALUE(MID($A839,4,3) &amp; LEFT($A839,3) &amp; RIGHT($A839,4)) + TIMEVALUE($B839), "")</f>
        <v/>
      </c>
      <c r="O839" s="48" t="str">
        <f>IF(Account!$F839&lt;&gt;"", DATEVALUE(MID($A839,4,3) &amp; LEFT($A839,3) &amp; RIGHT($A839,4)), "")</f>
        <v/>
      </c>
      <c r="P839" s="49" t="str">
        <f>IFERROR(VLOOKUP($Q839,Selection!$F:$G,2,false))</f>
        <v/>
      </c>
      <c r="Q839" s="50" t="str">
        <f>IF(AND($X839="change",$H839="EUR"),IF(AND($Z839="Crédit",$N839=$N840),$Q840,IF(AND($Z839="Débit",$N839=$N838),$Q838)),IF(OR(AND(OR($E839&lt;&gt;"",$L839=""),$M839&lt;&gt;0),$A839=""),IFERROR(VLOOKUP($E839,Selection!$E:$F,2,false)),IFERROR(VLOOKUP(SUBSTITUTE($I839,"-","",1),$K840:$Q1119,7,false),VLOOKUP($K839,$K840:$Q1119,7,false))))</f>
        <v/>
      </c>
      <c r="R839" s="49" t="str">
        <f t="shared" si="2"/>
        <v/>
      </c>
      <c r="S839" s="51" t="str">
        <f t="shared" si="3"/>
        <v/>
      </c>
      <c r="T839" s="52" t="str">
        <f t="shared" si="4"/>
        <v/>
      </c>
      <c r="U839" s="46" t="str">
        <f t="shared" si="5"/>
        <v/>
      </c>
      <c r="V839" s="53" t="str">
        <f>IFERROR(__xludf.DUMMYFUNCTION(" IF(Account!$F839&lt;&gt;"""", SPLIT(Account!$F839, "" ""), """")"),"")</f>
        <v/>
      </c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</row>
    <row r="840">
      <c r="A840" s="215"/>
      <c r="B840" s="215"/>
      <c r="C840" s="215"/>
      <c r="D840" s="215"/>
      <c r="E840" s="215"/>
      <c r="F840" s="373"/>
      <c r="G840" s="215"/>
      <c r="H840" s="215"/>
      <c r="I840" s="215"/>
      <c r="J840" s="215"/>
      <c r="K840" s="215"/>
      <c r="L840" s="45" t="str">
        <f t="shared" si="1"/>
        <v/>
      </c>
      <c r="M840" s="46" t="str">
        <f>IFERROR(__xludf.DUMMYFUNCTION("IF(Account!$F840&lt;&gt;"""", VALUE(REGEXREPLACE($I840, ""\,"", ""."")), """")"),"")</f>
        <v/>
      </c>
      <c r="N840" s="47" t="str">
        <f>IF(Account!$F840&lt;&gt;"", DATEVALUE(MID($A840,4,3) &amp; LEFT($A840,3) &amp; RIGHT($A840,4)) + TIMEVALUE($B840), "")</f>
        <v/>
      </c>
      <c r="O840" s="48" t="str">
        <f>IF(Account!$F840&lt;&gt;"", DATEVALUE(MID($A840,4,3) &amp; LEFT($A840,3) &amp; RIGHT($A840,4)), "")</f>
        <v/>
      </c>
      <c r="P840" s="49" t="str">
        <f>IFERROR(VLOOKUP($Q840,Selection!$F:$G,2,false))</f>
        <v/>
      </c>
      <c r="Q840" s="50" t="str">
        <f>IF(AND($X840="change",$H840="EUR"),IF(AND($Z840="Crédit",$N840=$N841),$Q841,IF(AND($Z840="Débit",$N840=$N839),$Q839)),IF(OR(AND(OR($E840&lt;&gt;"",$L840=""),$M840&lt;&gt;0),$A840=""),IFERROR(VLOOKUP($E840,Selection!$E:$F,2,false)),IFERROR(VLOOKUP(SUBSTITUTE($I840,"-","",1),$K841:$Q1119,7,false),VLOOKUP($K840,$K841:$Q1119,7,false))))</f>
        <v/>
      </c>
      <c r="R840" s="49" t="str">
        <f t="shared" si="2"/>
        <v/>
      </c>
      <c r="S840" s="51" t="str">
        <f t="shared" si="3"/>
        <v/>
      </c>
      <c r="T840" s="52" t="str">
        <f t="shared" si="4"/>
        <v/>
      </c>
      <c r="U840" s="46" t="str">
        <f t="shared" si="5"/>
        <v/>
      </c>
      <c r="V840" s="53" t="str">
        <f>IFERROR(__xludf.DUMMYFUNCTION(" IF(Account!$F840&lt;&gt;"""", SPLIT(Account!$F840, "" ""), """")"),"")</f>
        <v/>
      </c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</row>
    <row r="841">
      <c r="A841" s="215"/>
      <c r="B841" s="215"/>
      <c r="C841" s="215"/>
      <c r="D841" s="215"/>
      <c r="E841" s="215"/>
      <c r="F841" s="373"/>
      <c r="G841" s="215"/>
      <c r="H841" s="215"/>
      <c r="I841" s="215"/>
      <c r="J841" s="215"/>
      <c r="K841" s="215"/>
      <c r="L841" s="45" t="str">
        <f t="shared" si="1"/>
        <v/>
      </c>
      <c r="M841" s="46" t="str">
        <f>IFERROR(__xludf.DUMMYFUNCTION("IF(Account!$F841&lt;&gt;"""", VALUE(REGEXREPLACE($I841, ""\,"", ""."")), """")"),"")</f>
        <v/>
      </c>
      <c r="N841" s="47" t="str">
        <f>IF(Account!$F841&lt;&gt;"", DATEVALUE(MID($A841,4,3) &amp; LEFT($A841,3) &amp; RIGHT($A841,4)) + TIMEVALUE($B841), "")</f>
        <v/>
      </c>
      <c r="O841" s="48" t="str">
        <f>IF(Account!$F841&lt;&gt;"", DATEVALUE(MID($A841,4,3) &amp; LEFT($A841,3) &amp; RIGHT($A841,4)), "")</f>
        <v/>
      </c>
      <c r="P841" s="49" t="str">
        <f>IFERROR(VLOOKUP($Q841,Selection!$F:$G,2,false))</f>
        <v/>
      </c>
      <c r="Q841" s="50" t="str">
        <f>IF(AND($X841="change",$H841="EUR"),IF(AND($Z841="Crédit",$N841=$N842),$Q842,IF(AND($Z841="Débit",$N841=$N840),$Q840)),IF(OR(AND(OR($E841&lt;&gt;"",$L841=""),$M841&lt;&gt;0),$A841=""),IFERROR(VLOOKUP($E841,Selection!$E:$F,2,false)),IFERROR(VLOOKUP(SUBSTITUTE($I841,"-","",1),$K842:$Q1119,7,false),VLOOKUP($K841,$K842:$Q1119,7,false))))</f>
        <v/>
      </c>
      <c r="R841" s="49" t="str">
        <f t="shared" si="2"/>
        <v/>
      </c>
      <c r="S841" s="51" t="str">
        <f t="shared" si="3"/>
        <v/>
      </c>
      <c r="T841" s="52" t="str">
        <f t="shared" si="4"/>
        <v/>
      </c>
      <c r="U841" s="46" t="str">
        <f t="shared" si="5"/>
        <v/>
      </c>
      <c r="V841" s="53" t="str">
        <f>IFERROR(__xludf.DUMMYFUNCTION(" IF(Account!$F841&lt;&gt;"""", SPLIT(Account!$F841, "" ""), """")"),"")</f>
        <v/>
      </c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</row>
    <row r="842">
      <c r="A842" s="215"/>
      <c r="B842" s="215"/>
      <c r="C842" s="215"/>
      <c r="D842" s="215"/>
      <c r="E842" s="215"/>
      <c r="F842" s="373"/>
      <c r="G842" s="215"/>
      <c r="H842" s="215"/>
      <c r="I842" s="215"/>
      <c r="J842" s="215"/>
      <c r="K842" s="215"/>
      <c r="L842" s="45" t="str">
        <f t="shared" si="1"/>
        <v/>
      </c>
      <c r="M842" s="46" t="str">
        <f>IFERROR(__xludf.DUMMYFUNCTION("IF(Account!$F842&lt;&gt;"""", VALUE(REGEXREPLACE($I842, ""\,"", ""."")), """")"),"")</f>
        <v/>
      </c>
      <c r="N842" s="47" t="str">
        <f>IF(Account!$F842&lt;&gt;"", DATEVALUE(MID($A842,4,3) &amp; LEFT($A842,3) &amp; RIGHT($A842,4)) + TIMEVALUE($B842), "")</f>
        <v/>
      </c>
      <c r="O842" s="48" t="str">
        <f>IF(Account!$F842&lt;&gt;"", DATEVALUE(MID($A842,4,3) &amp; LEFT($A842,3) &amp; RIGHT($A842,4)), "")</f>
        <v/>
      </c>
      <c r="P842" s="49" t="str">
        <f>IFERROR(VLOOKUP($Q842,Selection!$F:$G,2,false))</f>
        <v/>
      </c>
      <c r="Q842" s="50" t="str">
        <f>IF(AND($X842="change",$H842="EUR"),IF(AND($Z842="Crédit",$N842=$N843),$Q843,IF(AND($Z842="Débit",$N842=$N841),$Q841)),IF(OR(AND(OR($E842&lt;&gt;"",$L842=""),$M842&lt;&gt;0),$A842=""),IFERROR(VLOOKUP($E842,Selection!$E:$F,2,false)),IFERROR(VLOOKUP(SUBSTITUTE($I842,"-","",1),$K843:$Q1119,7,false),VLOOKUP($K842,$K843:$Q1119,7,false))))</f>
        <v/>
      </c>
      <c r="R842" s="49" t="str">
        <f t="shared" si="2"/>
        <v/>
      </c>
      <c r="S842" s="51" t="str">
        <f t="shared" si="3"/>
        <v/>
      </c>
      <c r="T842" s="52" t="str">
        <f t="shared" si="4"/>
        <v/>
      </c>
      <c r="U842" s="46" t="str">
        <f t="shared" si="5"/>
        <v/>
      </c>
      <c r="V842" s="53" t="str">
        <f>IFERROR(__xludf.DUMMYFUNCTION(" IF(Account!$F842&lt;&gt;"""", SPLIT(Account!$F842, "" ""), """")"),"")</f>
        <v/>
      </c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</row>
    <row r="843">
      <c r="A843" s="215"/>
      <c r="B843" s="215"/>
      <c r="C843" s="215"/>
      <c r="D843" s="215"/>
      <c r="E843" s="215"/>
      <c r="F843" s="373"/>
      <c r="G843" s="215"/>
      <c r="H843" s="215"/>
      <c r="I843" s="215"/>
      <c r="J843" s="215"/>
      <c r="K843" s="215"/>
      <c r="L843" s="45" t="str">
        <f t="shared" si="1"/>
        <v/>
      </c>
      <c r="M843" s="46" t="str">
        <f>IFERROR(__xludf.DUMMYFUNCTION("IF(Account!$F843&lt;&gt;"""", VALUE(REGEXREPLACE($I843, ""\,"", ""."")), """")"),"")</f>
        <v/>
      </c>
      <c r="N843" s="47" t="str">
        <f>IF(Account!$F843&lt;&gt;"", DATEVALUE(MID($A843,4,3) &amp; LEFT($A843,3) &amp; RIGHT($A843,4)) + TIMEVALUE($B843), "")</f>
        <v/>
      </c>
      <c r="O843" s="48" t="str">
        <f>IF(Account!$F843&lt;&gt;"", DATEVALUE(MID($A843,4,3) &amp; LEFT($A843,3) &amp; RIGHT($A843,4)), "")</f>
        <v/>
      </c>
      <c r="P843" s="49" t="str">
        <f>IFERROR(VLOOKUP($Q843,Selection!$F:$G,2,false))</f>
        <v/>
      </c>
      <c r="Q843" s="50" t="str">
        <f>IF(AND($X843="change",$H843="EUR"),IF(AND($Z843="Crédit",$N843=$N844),$Q844,IF(AND($Z843="Débit",$N843=$N842),$Q842)),IF(OR(AND(OR($E843&lt;&gt;"",$L843=""),$M843&lt;&gt;0),$A843=""),IFERROR(VLOOKUP($E843,Selection!$E:$F,2,false)),IFERROR(VLOOKUP(SUBSTITUTE($I843,"-","",1),$K844:$Q1119,7,false),VLOOKUP($K843,$K844:$Q1119,7,false))))</f>
        <v/>
      </c>
      <c r="R843" s="49" t="str">
        <f t="shared" si="2"/>
        <v/>
      </c>
      <c r="S843" s="51" t="str">
        <f t="shared" si="3"/>
        <v/>
      </c>
      <c r="T843" s="52" t="str">
        <f t="shared" si="4"/>
        <v/>
      </c>
      <c r="U843" s="46" t="str">
        <f t="shared" si="5"/>
        <v/>
      </c>
      <c r="V843" s="53" t="str">
        <f>IFERROR(__xludf.DUMMYFUNCTION(" IF(Account!$F843&lt;&gt;"""", SPLIT(Account!$F843, "" ""), """")"),"")</f>
        <v/>
      </c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</row>
    <row r="844">
      <c r="A844" s="215"/>
      <c r="B844" s="215"/>
      <c r="C844" s="215"/>
      <c r="D844" s="215"/>
      <c r="E844" s="215"/>
      <c r="F844" s="373"/>
      <c r="G844" s="215"/>
      <c r="H844" s="215"/>
      <c r="I844" s="215"/>
      <c r="J844" s="215"/>
      <c r="K844" s="215"/>
      <c r="L844" s="45" t="str">
        <f t="shared" si="1"/>
        <v/>
      </c>
      <c r="M844" s="46" t="str">
        <f>IFERROR(__xludf.DUMMYFUNCTION("IF(Account!$F844&lt;&gt;"""", VALUE(REGEXREPLACE($I844, ""\,"", ""."")), """")"),"")</f>
        <v/>
      </c>
      <c r="N844" s="47" t="str">
        <f>IF(Account!$F844&lt;&gt;"", DATEVALUE(MID($A844,4,3) &amp; LEFT($A844,3) &amp; RIGHT($A844,4)) + TIMEVALUE($B844), "")</f>
        <v/>
      </c>
      <c r="O844" s="48" t="str">
        <f>IF(Account!$F844&lt;&gt;"", DATEVALUE(MID($A844,4,3) &amp; LEFT($A844,3) &amp; RIGHT($A844,4)), "")</f>
        <v/>
      </c>
      <c r="P844" s="49" t="str">
        <f>IFERROR(VLOOKUP($Q844,Selection!$F:$G,2,false))</f>
        <v/>
      </c>
      <c r="Q844" s="50" t="str">
        <f>IF(AND($X844="change",$H844="EUR"),IF(AND($Z844="Crédit",$N844=$N845),$Q845,IF(AND($Z844="Débit",$N844=$N843),$Q843)),IF(OR(AND(OR($E844&lt;&gt;"",$L844=""),$M844&lt;&gt;0),$A844=""),IFERROR(VLOOKUP($E844,Selection!$E:$F,2,false)),IFERROR(VLOOKUP(SUBSTITUTE($I844,"-","",1),$K845:$Q1119,7,false),VLOOKUP($K844,$K845:$Q1119,7,false))))</f>
        <v/>
      </c>
      <c r="R844" s="49" t="str">
        <f t="shared" si="2"/>
        <v/>
      </c>
      <c r="S844" s="51" t="str">
        <f t="shared" si="3"/>
        <v/>
      </c>
      <c r="T844" s="52" t="str">
        <f t="shared" si="4"/>
        <v/>
      </c>
      <c r="U844" s="46" t="str">
        <f t="shared" si="5"/>
        <v/>
      </c>
      <c r="V844" s="53" t="str">
        <f>IFERROR(__xludf.DUMMYFUNCTION(" IF(Account!$F844&lt;&gt;"""", SPLIT(Account!$F844, "" ""), """")"),"")</f>
        <v/>
      </c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</row>
    <row r="845">
      <c r="A845" s="215"/>
      <c r="B845" s="215"/>
      <c r="C845" s="215"/>
      <c r="D845" s="215"/>
      <c r="E845" s="215"/>
      <c r="F845" s="373"/>
      <c r="G845" s="215"/>
      <c r="H845" s="215"/>
      <c r="I845" s="215"/>
      <c r="J845" s="215"/>
      <c r="K845" s="215"/>
      <c r="L845" s="45" t="str">
        <f t="shared" si="1"/>
        <v/>
      </c>
      <c r="M845" s="46" t="str">
        <f>IFERROR(__xludf.DUMMYFUNCTION("IF(Account!$F845&lt;&gt;"""", VALUE(REGEXREPLACE($I845, ""\,"", ""."")), """")"),"")</f>
        <v/>
      </c>
      <c r="N845" s="47" t="str">
        <f>IF(Account!$F845&lt;&gt;"", DATEVALUE(MID($A845,4,3) &amp; LEFT($A845,3) &amp; RIGHT($A845,4)) + TIMEVALUE($B845), "")</f>
        <v/>
      </c>
      <c r="O845" s="48" t="str">
        <f>IF(Account!$F845&lt;&gt;"", DATEVALUE(MID($A845,4,3) &amp; LEFT($A845,3) &amp; RIGHT($A845,4)), "")</f>
        <v/>
      </c>
      <c r="P845" s="49" t="str">
        <f>IFERROR(VLOOKUP($Q845,Selection!$F:$G,2,false))</f>
        <v/>
      </c>
      <c r="Q845" s="50" t="str">
        <f>IF(AND($X845="change",$H845="EUR"),IF(AND($Z845="Crédit",$N845=$N846),$Q846,IF(AND($Z845="Débit",$N845=$N844),$Q844)),IF(OR(AND(OR($E845&lt;&gt;"",$L845=""),$M845&lt;&gt;0),$A845=""),IFERROR(VLOOKUP($E845,Selection!$E:$F,2,false)),IFERROR(VLOOKUP(SUBSTITUTE($I845,"-","",1),$K846:$Q1119,7,false),VLOOKUP($K845,$K846:$Q1119,7,false))))</f>
        <v/>
      </c>
      <c r="R845" s="49" t="str">
        <f t="shared" si="2"/>
        <v/>
      </c>
      <c r="S845" s="51" t="str">
        <f t="shared" si="3"/>
        <v/>
      </c>
      <c r="T845" s="52" t="str">
        <f t="shared" si="4"/>
        <v/>
      </c>
      <c r="U845" s="46" t="str">
        <f t="shared" si="5"/>
        <v/>
      </c>
      <c r="V845" s="53" t="str">
        <f>IFERROR(__xludf.DUMMYFUNCTION(" IF(Account!$F845&lt;&gt;"""", SPLIT(Account!$F845, "" ""), """")"),"")</f>
        <v/>
      </c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</row>
    <row r="846">
      <c r="A846" s="215"/>
      <c r="B846" s="215"/>
      <c r="C846" s="215"/>
      <c r="D846" s="215"/>
      <c r="E846" s="215"/>
      <c r="F846" s="373"/>
      <c r="G846" s="215"/>
      <c r="H846" s="215"/>
      <c r="I846" s="215"/>
      <c r="J846" s="215"/>
      <c r="K846" s="215"/>
      <c r="L846" s="45" t="str">
        <f t="shared" si="1"/>
        <v/>
      </c>
      <c r="M846" s="46" t="str">
        <f>IFERROR(__xludf.DUMMYFUNCTION("IF(Account!$F846&lt;&gt;"""", VALUE(REGEXREPLACE($I846, ""\,"", ""."")), """")"),"")</f>
        <v/>
      </c>
      <c r="N846" s="47" t="str">
        <f>IF(Account!$F846&lt;&gt;"", DATEVALUE(MID($A846,4,3) &amp; LEFT($A846,3) &amp; RIGHT($A846,4)) + TIMEVALUE($B846), "")</f>
        <v/>
      </c>
      <c r="O846" s="48" t="str">
        <f>IF(Account!$F846&lt;&gt;"", DATEVALUE(MID($A846,4,3) &amp; LEFT($A846,3) &amp; RIGHT($A846,4)), "")</f>
        <v/>
      </c>
      <c r="P846" s="49" t="str">
        <f>IFERROR(VLOOKUP($Q846,Selection!$F:$G,2,false))</f>
        <v/>
      </c>
      <c r="Q846" s="50" t="str">
        <f>IF(AND($X846="change",$H846="EUR"),IF(AND($Z846="Crédit",$N846=$N847),$Q847,IF(AND($Z846="Débit",$N846=$N845),$Q845)),IF(OR(AND(OR($E846&lt;&gt;"",$L846=""),$M846&lt;&gt;0),$A846=""),IFERROR(VLOOKUP($E846,Selection!$E:$F,2,false)),IFERROR(VLOOKUP(SUBSTITUTE($I846,"-","",1),$K847:$Q1119,7,false),VLOOKUP($K846,$K847:$Q1119,7,false))))</f>
        <v/>
      </c>
      <c r="R846" s="49" t="str">
        <f t="shared" si="2"/>
        <v/>
      </c>
      <c r="S846" s="51" t="str">
        <f t="shared" si="3"/>
        <v/>
      </c>
      <c r="T846" s="52" t="str">
        <f t="shared" si="4"/>
        <v/>
      </c>
      <c r="U846" s="46" t="str">
        <f t="shared" si="5"/>
        <v/>
      </c>
      <c r="V846" s="53" t="str">
        <f>IFERROR(__xludf.DUMMYFUNCTION(" IF(Account!$F846&lt;&gt;"""", SPLIT(Account!$F846, "" ""), """")"),"")</f>
        <v/>
      </c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</row>
    <row r="847">
      <c r="A847" s="215"/>
      <c r="B847" s="215"/>
      <c r="C847" s="215"/>
      <c r="D847" s="215"/>
      <c r="E847" s="215"/>
      <c r="F847" s="373"/>
      <c r="G847" s="215"/>
      <c r="H847" s="215"/>
      <c r="I847" s="215"/>
      <c r="J847" s="215"/>
      <c r="K847" s="215"/>
      <c r="L847" s="45" t="str">
        <f t="shared" si="1"/>
        <v/>
      </c>
      <c r="M847" s="46" t="str">
        <f>IFERROR(__xludf.DUMMYFUNCTION("IF(Account!$F847&lt;&gt;"""", VALUE(REGEXREPLACE($I847, ""\,"", ""."")), """")"),"")</f>
        <v/>
      </c>
      <c r="N847" s="47" t="str">
        <f>IF(Account!$F847&lt;&gt;"", DATEVALUE(MID($A847,4,3) &amp; LEFT($A847,3) &amp; RIGHT($A847,4)) + TIMEVALUE($B847), "")</f>
        <v/>
      </c>
      <c r="O847" s="48" t="str">
        <f>IF(Account!$F847&lt;&gt;"", DATEVALUE(MID($A847,4,3) &amp; LEFT($A847,3) &amp; RIGHT($A847,4)), "")</f>
        <v/>
      </c>
      <c r="P847" s="49" t="str">
        <f>IFERROR(VLOOKUP($Q847,Selection!$F:$G,2,false))</f>
        <v/>
      </c>
      <c r="Q847" s="50" t="str">
        <f>IF(AND($X847="change",$H847="EUR"),IF(AND($Z847="Crédit",$N847=$N848),$Q848,IF(AND($Z847="Débit",$N847=$N846),$Q846)),IF(OR(AND(OR($E847&lt;&gt;"",$L847=""),$M847&lt;&gt;0),$A847=""),IFERROR(VLOOKUP($E847,Selection!$E:$F,2,false)),IFERROR(VLOOKUP(SUBSTITUTE($I847,"-","",1),$K848:$Q1119,7,false),VLOOKUP($K847,$K848:$Q1119,7,false))))</f>
        <v/>
      </c>
      <c r="R847" s="49" t="str">
        <f t="shared" si="2"/>
        <v/>
      </c>
      <c r="S847" s="51" t="str">
        <f t="shared" si="3"/>
        <v/>
      </c>
      <c r="T847" s="52" t="str">
        <f t="shared" si="4"/>
        <v/>
      </c>
      <c r="U847" s="46" t="str">
        <f t="shared" si="5"/>
        <v/>
      </c>
      <c r="V847" s="53" t="str">
        <f>IFERROR(__xludf.DUMMYFUNCTION(" IF(Account!$F847&lt;&gt;"""", SPLIT(Account!$F847, "" ""), """")"),"")</f>
        <v/>
      </c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</row>
    <row r="848">
      <c r="A848" s="215"/>
      <c r="B848" s="215"/>
      <c r="C848" s="215"/>
      <c r="D848" s="215"/>
      <c r="E848" s="215"/>
      <c r="F848" s="373"/>
      <c r="G848" s="215"/>
      <c r="H848" s="215"/>
      <c r="I848" s="215"/>
      <c r="J848" s="215"/>
      <c r="K848" s="215"/>
      <c r="L848" s="45" t="str">
        <f t="shared" si="1"/>
        <v/>
      </c>
      <c r="M848" s="46" t="str">
        <f>IFERROR(__xludf.DUMMYFUNCTION("IF(Account!$F848&lt;&gt;"""", VALUE(REGEXREPLACE($I848, ""\,"", ""."")), """")"),"")</f>
        <v/>
      </c>
      <c r="N848" s="47" t="str">
        <f>IF(Account!$F848&lt;&gt;"", DATEVALUE(MID($A848,4,3) &amp; LEFT($A848,3) &amp; RIGHT($A848,4)) + TIMEVALUE($B848), "")</f>
        <v/>
      </c>
      <c r="O848" s="48" t="str">
        <f>IF(Account!$F848&lt;&gt;"", DATEVALUE(MID($A848,4,3) &amp; LEFT($A848,3) &amp; RIGHT($A848,4)), "")</f>
        <v/>
      </c>
      <c r="P848" s="49" t="str">
        <f>IFERROR(VLOOKUP($Q848,Selection!$F:$G,2,false))</f>
        <v/>
      </c>
      <c r="Q848" s="50" t="str">
        <f>IF(AND($X848="change",$H848="EUR"),IF(AND($Z848="Crédit",$N848=$N849),$Q849,IF(AND($Z848="Débit",$N848=$N847),$Q847)),IF(OR(AND(OR($E848&lt;&gt;"",$L848=""),$M848&lt;&gt;0),$A848=""),IFERROR(VLOOKUP($E848,Selection!$E:$F,2,false)),IFERROR(VLOOKUP(SUBSTITUTE($I848,"-","",1),$K849:$Q1119,7,false),VLOOKUP($K848,$K849:$Q1119,7,false))))</f>
        <v/>
      </c>
      <c r="R848" s="49" t="str">
        <f t="shared" si="2"/>
        <v/>
      </c>
      <c r="S848" s="51" t="str">
        <f t="shared" si="3"/>
        <v/>
      </c>
      <c r="T848" s="52" t="str">
        <f t="shared" si="4"/>
        <v/>
      </c>
      <c r="U848" s="46" t="str">
        <f t="shared" si="5"/>
        <v/>
      </c>
      <c r="V848" s="53" t="str">
        <f>IFERROR(__xludf.DUMMYFUNCTION(" IF(Account!$F848&lt;&gt;"""", SPLIT(Account!$F848, "" ""), """")"),"")</f>
        <v/>
      </c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</row>
    <row r="849">
      <c r="A849" s="215"/>
      <c r="B849" s="215"/>
      <c r="C849" s="215"/>
      <c r="D849" s="215"/>
      <c r="E849" s="215"/>
      <c r="F849" s="373"/>
      <c r="G849" s="215"/>
      <c r="H849" s="215"/>
      <c r="I849" s="215"/>
      <c r="J849" s="215"/>
      <c r="K849" s="215"/>
      <c r="L849" s="45" t="str">
        <f t="shared" si="1"/>
        <v/>
      </c>
      <c r="M849" s="46" t="str">
        <f>IFERROR(__xludf.DUMMYFUNCTION("IF(Account!$F849&lt;&gt;"""", VALUE(REGEXREPLACE($I849, ""\,"", ""."")), """")"),"")</f>
        <v/>
      </c>
      <c r="N849" s="47" t="str">
        <f>IF(Account!$F849&lt;&gt;"", DATEVALUE(MID($A849,4,3) &amp; LEFT($A849,3) &amp; RIGHT($A849,4)) + TIMEVALUE($B849), "")</f>
        <v/>
      </c>
      <c r="O849" s="48" t="str">
        <f>IF(Account!$F849&lt;&gt;"", DATEVALUE(MID($A849,4,3) &amp; LEFT($A849,3) &amp; RIGHT($A849,4)), "")</f>
        <v/>
      </c>
      <c r="P849" s="49" t="str">
        <f>IFERROR(VLOOKUP($Q849,Selection!$F:$G,2,false))</f>
        <v/>
      </c>
      <c r="Q849" s="50" t="str">
        <f>IF(AND($X849="change",$H849="EUR"),IF(AND($Z849="Crédit",$N849=$N850),$Q850,IF(AND($Z849="Débit",$N849=$N848),$Q848)),IF(OR(AND(OR($E849&lt;&gt;"",$L849=""),$M849&lt;&gt;0),$A849=""),IFERROR(VLOOKUP($E849,Selection!$E:$F,2,false)),IFERROR(VLOOKUP(SUBSTITUTE($I849,"-","",1),$K850:$Q1119,7,false),VLOOKUP($K849,$K850:$Q1119,7,false))))</f>
        <v/>
      </c>
      <c r="R849" s="49" t="str">
        <f t="shared" si="2"/>
        <v/>
      </c>
      <c r="S849" s="51" t="str">
        <f t="shared" si="3"/>
        <v/>
      </c>
      <c r="T849" s="52" t="str">
        <f t="shared" si="4"/>
        <v/>
      </c>
      <c r="U849" s="46" t="str">
        <f t="shared" si="5"/>
        <v/>
      </c>
      <c r="V849" s="53" t="str">
        <f>IFERROR(__xludf.DUMMYFUNCTION(" IF(Account!$F849&lt;&gt;"""", SPLIT(Account!$F849, "" ""), """")"),"")</f>
        <v/>
      </c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</row>
    <row r="850">
      <c r="A850" s="215"/>
      <c r="B850" s="215"/>
      <c r="C850" s="215"/>
      <c r="D850" s="215"/>
      <c r="E850" s="215"/>
      <c r="F850" s="373"/>
      <c r="G850" s="215"/>
      <c r="H850" s="215"/>
      <c r="I850" s="215"/>
      <c r="J850" s="215"/>
      <c r="K850" s="215"/>
      <c r="L850" s="45" t="str">
        <f t="shared" si="1"/>
        <v/>
      </c>
      <c r="M850" s="46" t="str">
        <f>IFERROR(__xludf.DUMMYFUNCTION("IF(Account!$F850&lt;&gt;"""", VALUE(REGEXREPLACE($I850, ""\,"", ""."")), """")"),"")</f>
        <v/>
      </c>
      <c r="N850" s="47" t="str">
        <f>IF(Account!$F850&lt;&gt;"", DATEVALUE(MID($A850,4,3) &amp; LEFT($A850,3) &amp; RIGHT($A850,4)) + TIMEVALUE($B850), "")</f>
        <v/>
      </c>
      <c r="O850" s="48" t="str">
        <f>IF(Account!$F850&lt;&gt;"", DATEVALUE(MID($A850,4,3) &amp; LEFT($A850,3) &amp; RIGHT($A850,4)), "")</f>
        <v/>
      </c>
      <c r="P850" s="49" t="str">
        <f>IFERROR(VLOOKUP($Q850,Selection!$F:$G,2,false))</f>
        <v/>
      </c>
      <c r="Q850" s="50" t="str">
        <f>IF(AND($X850="change",$H850="EUR"),IF(AND($Z850="Crédit",$N850=$N851),$Q851,IF(AND($Z850="Débit",$N850=$N849),$Q849)),IF(OR(AND(OR($E850&lt;&gt;"",$L850=""),$M850&lt;&gt;0),$A850=""),IFERROR(VLOOKUP($E850,Selection!$E:$F,2,false)),IFERROR(VLOOKUP(SUBSTITUTE($I850,"-","",1),$K851:$Q1119,7,false),VLOOKUP($K850,$K851:$Q1119,7,false))))</f>
        <v/>
      </c>
      <c r="R850" s="49" t="str">
        <f t="shared" si="2"/>
        <v/>
      </c>
      <c r="S850" s="51" t="str">
        <f t="shared" si="3"/>
        <v/>
      </c>
      <c r="T850" s="52" t="str">
        <f t="shared" si="4"/>
        <v/>
      </c>
      <c r="U850" s="46" t="str">
        <f t="shared" si="5"/>
        <v/>
      </c>
      <c r="V850" s="53" t="str">
        <f>IFERROR(__xludf.DUMMYFUNCTION(" IF(Account!$F850&lt;&gt;"""", SPLIT(Account!$F850, "" ""), """")"),"")</f>
        <v/>
      </c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</row>
    <row r="851">
      <c r="A851" s="215"/>
      <c r="B851" s="215"/>
      <c r="C851" s="215"/>
      <c r="D851" s="215"/>
      <c r="E851" s="215"/>
      <c r="F851" s="373"/>
      <c r="G851" s="215"/>
      <c r="H851" s="215"/>
      <c r="I851" s="215"/>
      <c r="J851" s="215"/>
      <c r="K851" s="215"/>
      <c r="L851" s="45" t="str">
        <f t="shared" si="1"/>
        <v/>
      </c>
      <c r="M851" s="46" t="str">
        <f>IFERROR(__xludf.DUMMYFUNCTION("IF(Account!$F851&lt;&gt;"""", VALUE(REGEXREPLACE($I851, ""\,"", ""."")), """")"),"")</f>
        <v/>
      </c>
      <c r="N851" s="47" t="str">
        <f>IF(Account!$F851&lt;&gt;"", DATEVALUE(MID($A851,4,3) &amp; LEFT($A851,3) &amp; RIGHT($A851,4)) + TIMEVALUE($B851), "")</f>
        <v/>
      </c>
      <c r="O851" s="48" t="str">
        <f>IF(Account!$F851&lt;&gt;"", DATEVALUE(MID($A851,4,3) &amp; LEFT($A851,3) &amp; RIGHT($A851,4)), "")</f>
        <v/>
      </c>
      <c r="P851" s="49" t="str">
        <f>IFERROR(VLOOKUP($Q851,Selection!$F:$G,2,false))</f>
        <v/>
      </c>
      <c r="Q851" s="50" t="str">
        <f>IF(AND($X851="change",$H851="EUR"),IF(AND($Z851="Crédit",$N851=$N852),$Q852,IF(AND($Z851="Débit",$N851=$N850),$Q850)),IF(OR(AND(OR($E851&lt;&gt;"",$L851=""),$M851&lt;&gt;0),$A851=""),IFERROR(VLOOKUP($E851,Selection!$E:$F,2,false)),IFERROR(VLOOKUP(SUBSTITUTE($I851,"-","",1),$K852:$Q1119,7,false),VLOOKUP($K851,$K852:$Q1119,7,false))))</f>
        <v/>
      </c>
      <c r="R851" s="49" t="str">
        <f t="shared" si="2"/>
        <v/>
      </c>
      <c r="S851" s="51" t="str">
        <f t="shared" si="3"/>
        <v/>
      </c>
      <c r="T851" s="52" t="str">
        <f t="shared" si="4"/>
        <v/>
      </c>
      <c r="U851" s="46" t="str">
        <f t="shared" si="5"/>
        <v/>
      </c>
      <c r="V851" s="53" t="str">
        <f>IFERROR(__xludf.DUMMYFUNCTION(" IF(Account!$F851&lt;&gt;"""", SPLIT(Account!$F851, "" ""), """")"),"")</f>
        <v/>
      </c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</row>
    <row r="852">
      <c r="A852" s="215"/>
      <c r="B852" s="215"/>
      <c r="C852" s="215"/>
      <c r="D852" s="215"/>
      <c r="E852" s="215"/>
      <c r="F852" s="373"/>
      <c r="G852" s="215"/>
      <c r="H852" s="215"/>
      <c r="I852" s="215"/>
      <c r="J852" s="215"/>
      <c r="K852" s="215"/>
      <c r="L852" s="45" t="str">
        <f t="shared" si="1"/>
        <v/>
      </c>
      <c r="M852" s="46" t="str">
        <f>IFERROR(__xludf.DUMMYFUNCTION("IF(Account!$F852&lt;&gt;"""", VALUE(REGEXREPLACE($I852, ""\,"", ""."")), """")"),"")</f>
        <v/>
      </c>
      <c r="N852" s="47" t="str">
        <f>IF(Account!$F852&lt;&gt;"", DATEVALUE(MID($A852,4,3) &amp; LEFT($A852,3) &amp; RIGHT($A852,4)) + TIMEVALUE($B852), "")</f>
        <v/>
      </c>
      <c r="O852" s="48" t="str">
        <f>IF(Account!$F852&lt;&gt;"", DATEVALUE(MID($A852,4,3) &amp; LEFT($A852,3) &amp; RIGHT($A852,4)), "")</f>
        <v/>
      </c>
      <c r="P852" s="49" t="str">
        <f>IFERROR(VLOOKUP($Q852,Selection!$F:$G,2,false))</f>
        <v/>
      </c>
      <c r="Q852" s="50" t="str">
        <f>IF(AND($X852="change",$H852="EUR"),IF(AND($Z852="Crédit",$N852=$N853),$Q853,IF(AND($Z852="Débit",$N852=$N851),$Q851)),IF(OR(AND(OR($E852&lt;&gt;"",$L852=""),$M852&lt;&gt;0),$A852=""),IFERROR(VLOOKUP($E852,Selection!$E:$F,2,false)),IFERROR(VLOOKUP(SUBSTITUTE($I852,"-","",1),$K853:$Q1119,7,false),VLOOKUP($K852,$K853:$Q1119,7,false))))</f>
        <v/>
      </c>
      <c r="R852" s="49" t="str">
        <f t="shared" si="2"/>
        <v/>
      </c>
      <c r="S852" s="51" t="str">
        <f t="shared" si="3"/>
        <v/>
      </c>
      <c r="T852" s="52" t="str">
        <f t="shared" si="4"/>
        <v/>
      </c>
      <c r="U852" s="46" t="str">
        <f t="shared" si="5"/>
        <v/>
      </c>
      <c r="V852" s="53" t="str">
        <f>IFERROR(__xludf.DUMMYFUNCTION(" IF(Account!$F852&lt;&gt;"""", SPLIT(Account!$F852, "" ""), """")"),"")</f>
        <v/>
      </c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</row>
    <row r="853">
      <c r="A853" s="215"/>
      <c r="B853" s="215"/>
      <c r="C853" s="215"/>
      <c r="D853" s="215"/>
      <c r="E853" s="215"/>
      <c r="F853" s="373"/>
      <c r="G853" s="215"/>
      <c r="H853" s="215"/>
      <c r="I853" s="215"/>
      <c r="J853" s="215"/>
      <c r="K853" s="215"/>
      <c r="L853" s="45" t="str">
        <f t="shared" si="1"/>
        <v/>
      </c>
      <c r="M853" s="46" t="str">
        <f>IFERROR(__xludf.DUMMYFUNCTION("IF(Account!$F853&lt;&gt;"""", VALUE(REGEXREPLACE($I853, ""\,"", ""."")), """")"),"")</f>
        <v/>
      </c>
      <c r="N853" s="47" t="str">
        <f>IF(Account!$F853&lt;&gt;"", DATEVALUE(MID($A853,4,3) &amp; LEFT($A853,3) &amp; RIGHT($A853,4)) + TIMEVALUE($B853), "")</f>
        <v/>
      </c>
      <c r="O853" s="48" t="str">
        <f>IF(Account!$F853&lt;&gt;"", DATEVALUE(MID($A853,4,3) &amp; LEFT($A853,3) &amp; RIGHT($A853,4)), "")</f>
        <v/>
      </c>
      <c r="P853" s="49" t="str">
        <f>IFERROR(VLOOKUP($Q853,Selection!$F:$G,2,false))</f>
        <v/>
      </c>
      <c r="Q853" s="50" t="str">
        <f>IF(AND($X853="change",$H853="EUR"),IF(AND($Z853="Crédit",$N853=$N854),$Q854,IF(AND($Z853="Débit",$N853=$N852),$Q852)),IF(OR(AND(OR($E853&lt;&gt;"",$L853=""),$M853&lt;&gt;0),$A853=""),IFERROR(VLOOKUP($E853,Selection!$E:$F,2,false)),IFERROR(VLOOKUP(SUBSTITUTE($I853,"-","",1),$K854:$Q1119,7,false),VLOOKUP($K853,$K854:$Q1119,7,false))))</f>
        <v/>
      </c>
      <c r="R853" s="49" t="str">
        <f t="shared" si="2"/>
        <v/>
      </c>
      <c r="S853" s="51" t="str">
        <f t="shared" si="3"/>
        <v/>
      </c>
      <c r="T853" s="52" t="str">
        <f t="shared" si="4"/>
        <v/>
      </c>
      <c r="U853" s="46" t="str">
        <f t="shared" si="5"/>
        <v/>
      </c>
      <c r="V853" s="53" t="str">
        <f>IFERROR(__xludf.DUMMYFUNCTION(" IF(Account!$F853&lt;&gt;"""", SPLIT(Account!$F853, "" ""), """")"),"")</f>
        <v/>
      </c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</row>
    <row r="854">
      <c r="A854" s="215"/>
      <c r="B854" s="215"/>
      <c r="C854" s="215"/>
      <c r="D854" s="215"/>
      <c r="E854" s="215"/>
      <c r="F854" s="373"/>
      <c r="G854" s="215"/>
      <c r="H854" s="215"/>
      <c r="I854" s="215"/>
      <c r="J854" s="215"/>
      <c r="K854" s="215"/>
      <c r="L854" s="45" t="str">
        <f t="shared" si="1"/>
        <v/>
      </c>
      <c r="M854" s="46" t="str">
        <f>IFERROR(__xludf.DUMMYFUNCTION("IF(Account!$F854&lt;&gt;"""", VALUE(REGEXREPLACE($I854, ""\,"", ""."")), """")"),"")</f>
        <v/>
      </c>
      <c r="N854" s="47" t="str">
        <f>IF(Account!$F854&lt;&gt;"", DATEVALUE(MID($A854,4,3) &amp; LEFT($A854,3) &amp; RIGHT($A854,4)) + TIMEVALUE($B854), "")</f>
        <v/>
      </c>
      <c r="O854" s="48" t="str">
        <f>IF(Account!$F854&lt;&gt;"", DATEVALUE(MID($A854,4,3) &amp; LEFT($A854,3) &amp; RIGHT($A854,4)), "")</f>
        <v/>
      </c>
      <c r="P854" s="49" t="str">
        <f>IFERROR(VLOOKUP($Q854,Selection!$F:$G,2,false))</f>
        <v/>
      </c>
      <c r="Q854" s="50" t="str">
        <f>IF(AND($X854="change",$H854="EUR"),IF(AND($Z854="Crédit",$N854=$N855),$Q855,IF(AND($Z854="Débit",$N854=$N853),$Q853)),IF(OR(AND(OR($E854&lt;&gt;"",$L854=""),$M854&lt;&gt;0),$A854=""),IFERROR(VLOOKUP($E854,Selection!$E:$F,2,false)),IFERROR(VLOOKUP(SUBSTITUTE($I854,"-","",1),$K855:$Q1119,7,false),VLOOKUP($K854,$K855:$Q1119,7,false))))</f>
        <v/>
      </c>
      <c r="R854" s="49" t="str">
        <f t="shared" si="2"/>
        <v/>
      </c>
      <c r="S854" s="51" t="str">
        <f t="shared" si="3"/>
        <v/>
      </c>
      <c r="T854" s="52" t="str">
        <f t="shared" si="4"/>
        <v/>
      </c>
      <c r="U854" s="46" t="str">
        <f t="shared" si="5"/>
        <v/>
      </c>
      <c r="V854" s="53" t="str">
        <f>IFERROR(__xludf.DUMMYFUNCTION(" IF(Account!$F854&lt;&gt;"""", SPLIT(Account!$F854, "" ""), """")"),"")</f>
        <v/>
      </c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</row>
    <row r="855">
      <c r="A855" s="215"/>
      <c r="B855" s="215"/>
      <c r="C855" s="215"/>
      <c r="D855" s="215"/>
      <c r="E855" s="215"/>
      <c r="F855" s="373"/>
      <c r="G855" s="215"/>
      <c r="H855" s="215"/>
      <c r="I855" s="215"/>
      <c r="J855" s="215"/>
      <c r="K855" s="215"/>
      <c r="L855" s="45" t="str">
        <f t="shared" si="1"/>
        <v/>
      </c>
      <c r="M855" s="46" t="str">
        <f>IFERROR(__xludf.DUMMYFUNCTION("IF(Account!$F855&lt;&gt;"""", VALUE(REGEXREPLACE($I855, ""\,"", ""."")), """")"),"")</f>
        <v/>
      </c>
      <c r="N855" s="47" t="str">
        <f>IF(Account!$F855&lt;&gt;"", DATEVALUE(MID($A855,4,3) &amp; LEFT($A855,3) &amp; RIGHT($A855,4)) + TIMEVALUE($B855), "")</f>
        <v/>
      </c>
      <c r="O855" s="48" t="str">
        <f>IF(Account!$F855&lt;&gt;"", DATEVALUE(MID($A855,4,3) &amp; LEFT($A855,3) &amp; RIGHT($A855,4)), "")</f>
        <v/>
      </c>
      <c r="P855" s="49" t="str">
        <f>IFERROR(VLOOKUP($Q855,Selection!$F:$G,2,false))</f>
        <v/>
      </c>
      <c r="Q855" s="50" t="str">
        <f>IF(AND($X855="change",$H855="EUR"),IF(AND($Z855="Crédit",$N855=$N856),$Q856,IF(AND($Z855="Débit",$N855=$N854),$Q854)),IF(OR(AND(OR($E855&lt;&gt;"",$L855=""),$M855&lt;&gt;0),$A855=""),IFERROR(VLOOKUP($E855,Selection!$E:$F,2,false)),IFERROR(VLOOKUP(SUBSTITUTE($I855,"-","",1),$K856:$Q1119,7,false),VLOOKUP($K855,$K856:$Q1119,7,false))))</f>
        <v/>
      </c>
      <c r="R855" s="49" t="str">
        <f t="shared" si="2"/>
        <v/>
      </c>
      <c r="S855" s="51" t="str">
        <f t="shared" si="3"/>
        <v/>
      </c>
      <c r="T855" s="52" t="str">
        <f t="shared" si="4"/>
        <v/>
      </c>
      <c r="U855" s="46" t="str">
        <f t="shared" si="5"/>
        <v/>
      </c>
      <c r="V855" s="53" t="str">
        <f>IFERROR(__xludf.DUMMYFUNCTION(" IF(Account!$F855&lt;&gt;"""", SPLIT(Account!$F855, "" ""), """")"),"")</f>
        <v/>
      </c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</row>
    <row r="856">
      <c r="A856" s="215"/>
      <c r="B856" s="215"/>
      <c r="C856" s="215"/>
      <c r="D856" s="215"/>
      <c r="E856" s="215"/>
      <c r="F856" s="373"/>
      <c r="G856" s="215"/>
      <c r="H856" s="215"/>
      <c r="I856" s="215"/>
      <c r="J856" s="215"/>
      <c r="K856" s="215"/>
      <c r="L856" s="45" t="str">
        <f t="shared" si="1"/>
        <v/>
      </c>
      <c r="M856" s="46" t="str">
        <f>IFERROR(__xludf.DUMMYFUNCTION("IF(Account!$F856&lt;&gt;"""", VALUE(REGEXREPLACE($I856, ""\,"", ""."")), """")"),"")</f>
        <v/>
      </c>
      <c r="N856" s="47" t="str">
        <f>IF(Account!$F856&lt;&gt;"", DATEVALUE(MID($A856,4,3) &amp; LEFT($A856,3) &amp; RIGHT($A856,4)) + TIMEVALUE($B856), "")</f>
        <v/>
      </c>
      <c r="O856" s="48" t="str">
        <f>IF(Account!$F856&lt;&gt;"", DATEVALUE(MID($A856,4,3) &amp; LEFT($A856,3) &amp; RIGHT($A856,4)), "")</f>
        <v/>
      </c>
      <c r="P856" s="49" t="str">
        <f>IFERROR(VLOOKUP($Q856,Selection!$F:$G,2,false))</f>
        <v/>
      </c>
      <c r="Q856" s="50" t="str">
        <f>IF(AND($X856="change",$H856="EUR"),IF(AND($Z856="Crédit",$N856=$N857),$Q857,IF(AND($Z856="Débit",$N856=$N855),$Q855)),IF(OR(AND(OR($E856&lt;&gt;"",$L856=""),$M856&lt;&gt;0),$A856=""),IFERROR(VLOOKUP($E856,Selection!$E:$F,2,false)),IFERROR(VLOOKUP(SUBSTITUTE($I856,"-","",1),$K857:$Q1119,7,false),VLOOKUP($K856,$K857:$Q1119,7,false))))</f>
        <v/>
      </c>
      <c r="R856" s="49" t="str">
        <f t="shared" si="2"/>
        <v/>
      </c>
      <c r="S856" s="51" t="str">
        <f t="shared" si="3"/>
        <v/>
      </c>
      <c r="T856" s="52" t="str">
        <f t="shared" si="4"/>
        <v/>
      </c>
      <c r="U856" s="46" t="str">
        <f t="shared" si="5"/>
        <v/>
      </c>
      <c r="V856" s="53" t="str">
        <f>IFERROR(__xludf.DUMMYFUNCTION(" IF(Account!$F856&lt;&gt;"""", SPLIT(Account!$F856, "" ""), """")"),"")</f>
        <v/>
      </c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</row>
    <row r="857">
      <c r="A857" s="215"/>
      <c r="B857" s="215"/>
      <c r="C857" s="215"/>
      <c r="D857" s="215"/>
      <c r="E857" s="215"/>
      <c r="F857" s="373"/>
      <c r="G857" s="215"/>
      <c r="H857" s="215"/>
      <c r="I857" s="215"/>
      <c r="J857" s="215"/>
      <c r="K857" s="215"/>
      <c r="L857" s="45" t="str">
        <f t="shared" si="1"/>
        <v/>
      </c>
      <c r="M857" s="46" t="str">
        <f>IFERROR(__xludf.DUMMYFUNCTION("IF(Account!$F857&lt;&gt;"""", VALUE(REGEXREPLACE($I857, ""\,"", ""."")), """")"),"")</f>
        <v/>
      </c>
      <c r="N857" s="47" t="str">
        <f>IF(Account!$F857&lt;&gt;"", DATEVALUE(MID($A857,4,3) &amp; LEFT($A857,3) &amp; RIGHT($A857,4)) + TIMEVALUE($B857), "")</f>
        <v/>
      </c>
      <c r="O857" s="48" t="str">
        <f>IF(Account!$F857&lt;&gt;"", DATEVALUE(MID($A857,4,3) &amp; LEFT($A857,3) &amp; RIGHT($A857,4)), "")</f>
        <v/>
      </c>
      <c r="P857" s="49" t="str">
        <f>IFERROR(VLOOKUP($Q857,Selection!$F:$G,2,false))</f>
        <v/>
      </c>
      <c r="Q857" s="50" t="str">
        <f>IF(AND($X857="change",$H857="EUR"),IF(AND($Z857="Crédit",$N857=$N858),$Q858,IF(AND($Z857="Débit",$N857=$N856),$Q856)),IF(OR(AND(OR($E857&lt;&gt;"",$L857=""),$M857&lt;&gt;0),$A857=""),IFERROR(VLOOKUP($E857,Selection!$E:$F,2,false)),IFERROR(VLOOKUP(SUBSTITUTE($I857,"-","",1),$K858:$Q1119,7,false),VLOOKUP($K857,$K858:$Q1119,7,false))))</f>
        <v/>
      </c>
      <c r="R857" s="49" t="str">
        <f t="shared" si="2"/>
        <v/>
      </c>
      <c r="S857" s="51" t="str">
        <f t="shared" si="3"/>
        <v/>
      </c>
      <c r="T857" s="52" t="str">
        <f t="shared" si="4"/>
        <v/>
      </c>
      <c r="U857" s="46" t="str">
        <f t="shared" si="5"/>
        <v/>
      </c>
      <c r="V857" s="53" t="str">
        <f>IFERROR(__xludf.DUMMYFUNCTION(" IF(Account!$F857&lt;&gt;"""", SPLIT(Account!$F857, "" ""), """")"),"")</f>
        <v/>
      </c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</row>
    <row r="858">
      <c r="A858" s="215"/>
      <c r="B858" s="215"/>
      <c r="C858" s="215"/>
      <c r="D858" s="215"/>
      <c r="E858" s="215"/>
      <c r="F858" s="373"/>
      <c r="G858" s="215"/>
      <c r="H858" s="215"/>
      <c r="I858" s="215"/>
      <c r="J858" s="215"/>
      <c r="K858" s="215"/>
      <c r="L858" s="45" t="str">
        <f t="shared" si="1"/>
        <v/>
      </c>
      <c r="M858" s="46" t="str">
        <f>IFERROR(__xludf.DUMMYFUNCTION("IF(Account!$F858&lt;&gt;"""", VALUE(REGEXREPLACE($I858, ""\,"", ""."")), """")"),"")</f>
        <v/>
      </c>
      <c r="N858" s="47" t="str">
        <f>IF(Account!$F858&lt;&gt;"", DATEVALUE(MID($A858,4,3) &amp; LEFT($A858,3) &amp; RIGHT($A858,4)) + TIMEVALUE($B858), "")</f>
        <v/>
      </c>
      <c r="O858" s="48" t="str">
        <f>IF(Account!$F858&lt;&gt;"", DATEVALUE(MID($A858,4,3) &amp; LEFT($A858,3) &amp; RIGHT($A858,4)), "")</f>
        <v/>
      </c>
      <c r="P858" s="49" t="str">
        <f>IFERROR(VLOOKUP($Q858,Selection!$F:$G,2,false))</f>
        <v/>
      </c>
      <c r="Q858" s="50" t="str">
        <f>IF(AND($X858="change",$H858="EUR"),IF(AND($Z858="Crédit",$N858=$N859),$Q859,IF(AND($Z858="Débit",$N858=$N857),$Q857)),IF(OR(AND(OR($E858&lt;&gt;"",$L858=""),$M858&lt;&gt;0),$A858=""),IFERROR(VLOOKUP($E858,Selection!$E:$F,2,false)),IFERROR(VLOOKUP(SUBSTITUTE($I858,"-","",1),$K859:$Q1119,7,false),VLOOKUP($K858,$K859:$Q1119,7,false))))</f>
        <v/>
      </c>
      <c r="R858" s="49" t="str">
        <f t="shared" si="2"/>
        <v/>
      </c>
      <c r="S858" s="51" t="str">
        <f t="shared" si="3"/>
        <v/>
      </c>
      <c r="T858" s="52" t="str">
        <f t="shared" si="4"/>
        <v/>
      </c>
      <c r="U858" s="46" t="str">
        <f t="shared" si="5"/>
        <v/>
      </c>
      <c r="V858" s="53" t="str">
        <f>IFERROR(__xludf.DUMMYFUNCTION(" IF(Account!$F858&lt;&gt;"""", SPLIT(Account!$F858, "" ""), """")"),"")</f>
        <v/>
      </c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</row>
    <row r="859">
      <c r="A859" s="215"/>
      <c r="B859" s="215"/>
      <c r="C859" s="215"/>
      <c r="D859" s="215"/>
      <c r="E859" s="215"/>
      <c r="F859" s="373"/>
      <c r="G859" s="215"/>
      <c r="H859" s="215"/>
      <c r="I859" s="215"/>
      <c r="J859" s="215"/>
      <c r="K859" s="215"/>
      <c r="L859" s="45" t="str">
        <f t="shared" si="1"/>
        <v/>
      </c>
      <c r="M859" s="46" t="str">
        <f>IFERROR(__xludf.DUMMYFUNCTION("IF(Account!$F859&lt;&gt;"""", VALUE(REGEXREPLACE($I859, ""\,"", ""."")), """")"),"")</f>
        <v/>
      </c>
      <c r="N859" s="47" t="str">
        <f>IF(Account!$F859&lt;&gt;"", DATEVALUE(MID($A859,4,3) &amp; LEFT($A859,3) &amp; RIGHT($A859,4)) + TIMEVALUE($B859), "")</f>
        <v/>
      </c>
      <c r="O859" s="48" t="str">
        <f>IF(Account!$F859&lt;&gt;"", DATEVALUE(MID($A859,4,3) &amp; LEFT($A859,3) &amp; RIGHT($A859,4)), "")</f>
        <v/>
      </c>
      <c r="P859" s="49" t="str">
        <f>IFERROR(VLOOKUP($Q859,Selection!$F:$G,2,false))</f>
        <v/>
      </c>
      <c r="Q859" s="50" t="str">
        <f>IF(AND($X859="change",$H859="EUR"),IF(AND($Z859="Crédit",$N859=$N860),$Q860,IF(AND($Z859="Débit",$N859=$N858),$Q858)),IF(OR(AND(OR($E859&lt;&gt;"",$L859=""),$M859&lt;&gt;0),$A859=""),IFERROR(VLOOKUP($E859,Selection!$E:$F,2,false)),IFERROR(VLOOKUP(SUBSTITUTE($I859,"-","",1),$K860:$Q1119,7,false),VLOOKUP($K859,$K860:$Q1119,7,false))))</f>
        <v/>
      </c>
      <c r="R859" s="49" t="str">
        <f t="shared" si="2"/>
        <v/>
      </c>
      <c r="S859" s="51" t="str">
        <f t="shared" si="3"/>
        <v/>
      </c>
      <c r="T859" s="52" t="str">
        <f t="shared" si="4"/>
        <v/>
      </c>
      <c r="U859" s="46" t="str">
        <f t="shared" si="5"/>
        <v/>
      </c>
      <c r="V859" s="53" t="str">
        <f>IFERROR(__xludf.DUMMYFUNCTION(" IF(Account!$F859&lt;&gt;"""", SPLIT(Account!$F859, "" ""), """")"),"")</f>
        <v/>
      </c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</row>
    <row r="860">
      <c r="A860" s="215"/>
      <c r="B860" s="215"/>
      <c r="C860" s="215"/>
      <c r="D860" s="215"/>
      <c r="E860" s="215"/>
      <c r="F860" s="373"/>
      <c r="G860" s="215"/>
      <c r="H860" s="215"/>
      <c r="I860" s="215"/>
      <c r="J860" s="215"/>
      <c r="K860" s="215"/>
      <c r="L860" s="45" t="str">
        <f t="shared" si="1"/>
        <v/>
      </c>
      <c r="M860" s="46" t="str">
        <f>IFERROR(__xludf.DUMMYFUNCTION("IF(Account!$F860&lt;&gt;"""", VALUE(REGEXREPLACE($I860, ""\,"", ""."")), """")"),"")</f>
        <v/>
      </c>
      <c r="N860" s="47" t="str">
        <f>IF(Account!$F860&lt;&gt;"", DATEVALUE(MID($A860,4,3) &amp; LEFT($A860,3) &amp; RIGHT($A860,4)) + TIMEVALUE($B860), "")</f>
        <v/>
      </c>
      <c r="O860" s="48" t="str">
        <f>IF(Account!$F860&lt;&gt;"", DATEVALUE(MID($A860,4,3) &amp; LEFT($A860,3) &amp; RIGHT($A860,4)), "")</f>
        <v/>
      </c>
      <c r="P860" s="49" t="str">
        <f>IFERROR(VLOOKUP($Q860,Selection!$F:$G,2,false))</f>
        <v/>
      </c>
      <c r="Q860" s="50" t="str">
        <f>IF(AND($X860="change",$H860="EUR"),IF(AND($Z860="Crédit",$N860=$N861),$Q861,IF(AND($Z860="Débit",$N860=$N859),$Q859)),IF(OR(AND(OR($E860&lt;&gt;"",$L860=""),$M860&lt;&gt;0),$A860=""),IFERROR(VLOOKUP($E860,Selection!$E:$F,2,false)),IFERROR(VLOOKUP(SUBSTITUTE($I860,"-","",1),$K861:$Q1119,7,false),VLOOKUP($K860,$K861:$Q1119,7,false))))</f>
        <v/>
      </c>
      <c r="R860" s="49" t="str">
        <f t="shared" si="2"/>
        <v/>
      </c>
      <c r="S860" s="51" t="str">
        <f t="shared" si="3"/>
        <v/>
      </c>
      <c r="T860" s="52" t="str">
        <f t="shared" si="4"/>
        <v/>
      </c>
      <c r="U860" s="46" t="str">
        <f t="shared" si="5"/>
        <v/>
      </c>
      <c r="V860" s="53" t="str">
        <f>IFERROR(__xludf.DUMMYFUNCTION(" IF(Account!$F860&lt;&gt;"""", SPLIT(Account!$F860, "" ""), """")"),"")</f>
        <v/>
      </c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</row>
    <row r="861">
      <c r="A861" s="215"/>
      <c r="B861" s="215"/>
      <c r="C861" s="215"/>
      <c r="D861" s="215"/>
      <c r="E861" s="215"/>
      <c r="F861" s="373"/>
      <c r="G861" s="215"/>
      <c r="H861" s="215"/>
      <c r="I861" s="215"/>
      <c r="J861" s="215"/>
      <c r="K861" s="215"/>
      <c r="L861" s="45" t="str">
        <f t="shared" si="1"/>
        <v/>
      </c>
      <c r="M861" s="46" t="str">
        <f>IFERROR(__xludf.DUMMYFUNCTION("IF(Account!$F861&lt;&gt;"""", VALUE(REGEXREPLACE($I861, ""\,"", ""."")), """")"),"")</f>
        <v/>
      </c>
      <c r="N861" s="47" t="str">
        <f>IF(Account!$F861&lt;&gt;"", DATEVALUE(MID($A861,4,3) &amp; LEFT($A861,3) &amp; RIGHT($A861,4)) + TIMEVALUE($B861), "")</f>
        <v/>
      </c>
      <c r="O861" s="48" t="str">
        <f>IF(Account!$F861&lt;&gt;"", DATEVALUE(MID($A861,4,3) &amp; LEFT($A861,3) &amp; RIGHT($A861,4)), "")</f>
        <v/>
      </c>
      <c r="P861" s="49" t="str">
        <f>IFERROR(VLOOKUP($Q861,Selection!$F:$G,2,false))</f>
        <v/>
      </c>
      <c r="Q861" s="50" t="str">
        <f>IF(AND($X861="change",$H861="EUR"),IF(AND($Z861="Crédit",$N861=$N862),$Q862,IF(AND($Z861="Débit",$N861=$N860),$Q860)),IF(OR(AND(OR($E861&lt;&gt;"",$L861=""),$M861&lt;&gt;0),$A861=""),IFERROR(VLOOKUP($E861,Selection!$E:$F,2,false)),IFERROR(VLOOKUP(SUBSTITUTE($I861,"-","",1),$K862:$Q1119,7,false),VLOOKUP($K861,$K862:$Q1119,7,false))))</f>
        <v/>
      </c>
      <c r="R861" s="49" t="str">
        <f t="shared" si="2"/>
        <v/>
      </c>
      <c r="S861" s="51" t="str">
        <f t="shared" si="3"/>
        <v/>
      </c>
      <c r="T861" s="52" t="str">
        <f t="shared" si="4"/>
        <v/>
      </c>
      <c r="U861" s="46" t="str">
        <f t="shared" si="5"/>
        <v/>
      </c>
      <c r="V861" s="53" t="str">
        <f>IFERROR(__xludf.DUMMYFUNCTION(" IF(Account!$F861&lt;&gt;"""", SPLIT(Account!$F861, "" ""), """")"),"")</f>
        <v/>
      </c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</row>
    <row r="862">
      <c r="A862" s="215"/>
      <c r="B862" s="215"/>
      <c r="C862" s="215"/>
      <c r="D862" s="215"/>
      <c r="E862" s="215"/>
      <c r="F862" s="373"/>
      <c r="G862" s="215"/>
      <c r="H862" s="215"/>
      <c r="I862" s="215"/>
      <c r="J862" s="215"/>
      <c r="K862" s="215"/>
      <c r="L862" s="45" t="str">
        <f t="shared" si="1"/>
        <v/>
      </c>
      <c r="M862" s="46" t="str">
        <f>IFERROR(__xludf.DUMMYFUNCTION("IF(Account!$F862&lt;&gt;"""", VALUE(REGEXREPLACE($I862, ""\,"", ""."")), """")"),"")</f>
        <v/>
      </c>
      <c r="N862" s="47" t="str">
        <f>IF(Account!$F862&lt;&gt;"", DATEVALUE(MID($A862,4,3) &amp; LEFT($A862,3) &amp; RIGHT($A862,4)) + TIMEVALUE($B862), "")</f>
        <v/>
      </c>
      <c r="O862" s="48" t="str">
        <f>IF(Account!$F862&lt;&gt;"", DATEVALUE(MID($A862,4,3) &amp; LEFT($A862,3) &amp; RIGHT($A862,4)), "")</f>
        <v/>
      </c>
      <c r="P862" s="49" t="str">
        <f>IFERROR(VLOOKUP($Q862,Selection!$F:$G,2,false))</f>
        <v/>
      </c>
      <c r="Q862" s="50" t="str">
        <f>IF(AND($X862="change",$H862="EUR"),IF(AND($Z862="Crédit",$N862=$N863),$Q863,IF(AND($Z862="Débit",$N862=$N861),$Q861)),IF(OR(AND(OR($E862&lt;&gt;"",$L862=""),$M862&lt;&gt;0),$A862=""),IFERROR(VLOOKUP($E862,Selection!$E:$F,2,false)),IFERROR(VLOOKUP(SUBSTITUTE($I862,"-","",1),$K863:$Q1119,7,false),VLOOKUP($K862,$K863:$Q1119,7,false))))</f>
        <v/>
      </c>
      <c r="R862" s="49" t="str">
        <f t="shared" si="2"/>
        <v/>
      </c>
      <c r="S862" s="51" t="str">
        <f t="shared" si="3"/>
        <v/>
      </c>
      <c r="T862" s="52" t="str">
        <f t="shared" si="4"/>
        <v/>
      </c>
      <c r="U862" s="46" t="str">
        <f t="shared" si="5"/>
        <v/>
      </c>
      <c r="V862" s="53" t="str">
        <f>IFERROR(__xludf.DUMMYFUNCTION(" IF(Account!$F862&lt;&gt;"""", SPLIT(Account!$F862, "" ""), """")"),"")</f>
        <v/>
      </c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</row>
    <row r="863">
      <c r="A863" s="215"/>
      <c r="B863" s="215"/>
      <c r="C863" s="215"/>
      <c r="D863" s="215"/>
      <c r="E863" s="215"/>
      <c r="F863" s="373"/>
      <c r="G863" s="215"/>
      <c r="H863" s="215"/>
      <c r="I863" s="215"/>
      <c r="J863" s="215"/>
      <c r="K863" s="215"/>
      <c r="L863" s="45" t="str">
        <f t="shared" si="1"/>
        <v/>
      </c>
      <c r="M863" s="46" t="str">
        <f>IFERROR(__xludf.DUMMYFUNCTION("IF(Account!$F863&lt;&gt;"""", VALUE(REGEXREPLACE($I863, ""\,"", ""."")), """")"),"")</f>
        <v/>
      </c>
      <c r="N863" s="47" t="str">
        <f>IF(Account!$F863&lt;&gt;"", DATEVALUE(MID($A863,4,3) &amp; LEFT($A863,3) &amp; RIGHT($A863,4)) + TIMEVALUE($B863), "")</f>
        <v/>
      </c>
      <c r="O863" s="48" t="str">
        <f>IF(Account!$F863&lt;&gt;"", DATEVALUE(MID($A863,4,3) &amp; LEFT($A863,3) &amp; RIGHT($A863,4)), "")</f>
        <v/>
      </c>
      <c r="P863" s="49" t="str">
        <f>IFERROR(VLOOKUP($Q863,Selection!$F:$G,2,false))</f>
        <v/>
      </c>
      <c r="Q863" s="50" t="str">
        <f>IF(AND($X863="change",$H863="EUR"),IF(AND($Z863="Crédit",$N863=$N864),$Q864,IF(AND($Z863="Débit",$N863=$N862),$Q862)),IF(OR(AND(OR($E863&lt;&gt;"",$L863=""),$M863&lt;&gt;0),$A863=""),IFERROR(VLOOKUP($E863,Selection!$E:$F,2,false)),IFERROR(VLOOKUP(SUBSTITUTE($I863,"-","",1),$K864:$Q1119,7,false),VLOOKUP($K863,$K864:$Q1119,7,false))))</f>
        <v/>
      </c>
      <c r="R863" s="49" t="str">
        <f t="shared" si="2"/>
        <v/>
      </c>
      <c r="S863" s="51" t="str">
        <f t="shared" si="3"/>
        <v/>
      </c>
      <c r="T863" s="52" t="str">
        <f t="shared" si="4"/>
        <v/>
      </c>
      <c r="U863" s="46" t="str">
        <f t="shared" si="5"/>
        <v/>
      </c>
      <c r="V863" s="53" t="str">
        <f>IFERROR(__xludf.DUMMYFUNCTION(" IF(Account!$F863&lt;&gt;"""", SPLIT(Account!$F863, "" ""), """")"),"")</f>
        <v/>
      </c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</row>
    <row r="864">
      <c r="A864" s="215"/>
      <c r="B864" s="215"/>
      <c r="C864" s="215"/>
      <c r="D864" s="215"/>
      <c r="E864" s="215"/>
      <c r="F864" s="373"/>
      <c r="G864" s="215"/>
      <c r="H864" s="215"/>
      <c r="I864" s="215"/>
      <c r="J864" s="215"/>
      <c r="K864" s="215"/>
      <c r="L864" s="45" t="str">
        <f t="shared" si="1"/>
        <v/>
      </c>
      <c r="M864" s="46" t="str">
        <f>IFERROR(__xludf.DUMMYFUNCTION("IF(Account!$F864&lt;&gt;"""", VALUE(REGEXREPLACE($I864, ""\,"", ""."")), """")"),"")</f>
        <v/>
      </c>
      <c r="N864" s="47" t="str">
        <f>IF(Account!$F864&lt;&gt;"", DATEVALUE(MID($A864,4,3) &amp; LEFT($A864,3) &amp; RIGHT($A864,4)) + TIMEVALUE($B864), "")</f>
        <v/>
      </c>
      <c r="O864" s="48" t="str">
        <f>IF(Account!$F864&lt;&gt;"", DATEVALUE(MID($A864,4,3) &amp; LEFT($A864,3) &amp; RIGHT($A864,4)), "")</f>
        <v/>
      </c>
      <c r="P864" s="49" t="str">
        <f>IFERROR(VLOOKUP($Q864,Selection!$F:$G,2,false))</f>
        <v/>
      </c>
      <c r="Q864" s="50" t="str">
        <f>IF(AND($X864="change",$H864="EUR"),IF(AND($Z864="Crédit",$N864=$N865),$Q865,IF(AND($Z864="Débit",$N864=$N863),$Q863)),IF(OR(AND(OR($E864&lt;&gt;"",$L864=""),$M864&lt;&gt;0),$A864=""),IFERROR(VLOOKUP($E864,Selection!$E:$F,2,false)),IFERROR(VLOOKUP(SUBSTITUTE($I864,"-","",1),$K865:$Q1119,7,false),VLOOKUP($K864,$K865:$Q1119,7,false))))</f>
        <v/>
      </c>
      <c r="R864" s="49" t="str">
        <f t="shared" si="2"/>
        <v/>
      </c>
      <c r="S864" s="51" t="str">
        <f t="shared" si="3"/>
        <v/>
      </c>
      <c r="T864" s="52" t="str">
        <f t="shared" si="4"/>
        <v/>
      </c>
      <c r="U864" s="46" t="str">
        <f t="shared" si="5"/>
        <v/>
      </c>
      <c r="V864" s="53" t="str">
        <f>IFERROR(__xludf.DUMMYFUNCTION(" IF(Account!$F864&lt;&gt;"""", SPLIT(Account!$F864, "" ""), """")"),"")</f>
        <v/>
      </c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</row>
    <row r="865">
      <c r="A865" s="215"/>
      <c r="B865" s="215"/>
      <c r="C865" s="215"/>
      <c r="D865" s="215"/>
      <c r="E865" s="215"/>
      <c r="F865" s="373"/>
      <c r="G865" s="215"/>
      <c r="H865" s="215"/>
      <c r="I865" s="215"/>
      <c r="J865" s="215"/>
      <c r="K865" s="215"/>
      <c r="L865" s="45" t="str">
        <f t="shared" si="1"/>
        <v/>
      </c>
      <c r="M865" s="46" t="str">
        <f>IFERROR(__xludf.DUMMYFUNCTION("IF(Account!$F865&lt;&gt;"""", VALUE(REGEXREPLACE($I865, ""\,"", ""."")), """")"),"")</f>
        <v/>
      </c>
      <c r="N865" s="47" t="str">
        <f>IF(Account!$F865&lt;&gt;"", DATEVALUE(MID($A865,4,3) &amp; LEFT($A865,3) &amp; RIGHT($A865,4)) + TIMEVALUE($B865), "")</f>
        <v/>
      </c>
      <c r="O865" s="48" t="str">
        <f>IF(Account!$F865&lt;&gt;"", DATEVALUE(MID($A865,4,3) &amp; LEFT($A865,3) &amp; RIGHT($A865,4)), "")</f>
        <v/>
      </c>
      <c r="P865" s="49" t="str">
        <f>IFERROR(VLOOKUP($Q865,Selection!$F:$G,2,false))</f>
        <v/>
      </c>
      <c r="Q865" s="50" t="str">
        <f>IF(AND($X865="change",$H865="EUR"),IF(AND($Z865="Crédit",$N865=$N866),$Q866,IF(AND($Z865="Débit",$N865=$N864),$Q864)),IF(OR(AND(OR($E865&lt;&gt;"",$L865=""),$M865&lt;&gt;0),$A865=""),IFERROR(VLOOKUP($E865,Selection!$E:$F,2,false)),IFERROR(VLOOKUP(SUBSTITUTE($I865,"-","",1),$K866:$Q1119,7,false),VLOOKUP($K865,$K866:$Q1119,7,false))))</f>
        <v/>
      </c>
      <c r="R865" s="49" t="str">
        <f t="shared" si="2"/>
        <v/>
      </c>
      <c r="S865" s="51" t="str">
        <f t="shared" si="3"/>
        <v/>
      </c>
      <c r="T865" s="52" t="str">
        <f t="shared" si="4"/>
        <v/>
      </c>
      <c r="U865" s="46" t="str">
        <f t="shared" si="5"/>
        <v/>
      </c>
      <c r="V865" s="53" t="str">
        <f>IFERROR(__xludf.DUMMYFUNCTION(" IF(Account!$F865&lt;&gt;"""", SPLIT(Account!$F865, "" ""), """")"),"")</f>
        <v/>
      </c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</row>
    <row r="866">
      <c r="A866" s="215"/>
      <c r="B866" s="215"/>
      <c r="C866" s="215"/>
      <c r="D866" s="215"/>
      <c r="E866" s="215"/>
      <c r="F866" s="373"/>
      <c r="G866" s="215"/>
      <c r="H866" s="215"/>
      <c r="I866" s="215"/>
      <c r="J866" s="215"/>
      <c r="K866" s="215"/>
      <c r="L866" s="45" t="str">
        <f t="shared" si="1"/>
        <v/>
      </c>
      <c r="M866" s="46" t="str">
        <f>IFERROR(__xludf.DUMMYFUNCTION("IF(Account!$F866&lt;&gt;"""", VALUE(REGEXREPLACE($I866, ""\,"", ""."")), """")"),"")</f>
        <v/>
      </c>
      <c r="N866" s="47" t="str">
        <f>IF(Account!$F866&lt;&gt;"", DATEVALUE(MID($A866,4,3) &amp; LEFT($A866,3) &amp; RIGHT($A866,4)) + TIMEVALUE($B866), "")</f>
        <v/>
      </c>
      <c r="O866" s="48" t="str">
        <f>IF(Account!$F866&lt;&gt;"", DATEVALUE(MID($A866,4,3) &amp; LEFT($A866,3) &amp; RIGHT($A866,4)), "")</f>
        <v/>
      </c>
      <c r="P866" s="49" t="str">
        <f>IFERROR(VLOOKUP($Q866,Selection!$F:$G,2,false))</f>
        <v/>
      </c>
      <c r="Q866" s="50" t="str">
        <f>IF(AND($X866="change",$H866="EUR"),IF(AND($Z866="Crédit",$N866=$N867),$Q867,IF(AND($Z866="Débit",$N866=$N865),$Q865)),IF(OR(AND(OR($E866&lt;&gt;"",$L866=""),$M866&lt;&gt;0),$A866=""),IFERROR(VLOOKUP($E866,Selection!$E:$F,2,false)),IFERROR(VLOOKUP(SUBSTITUTE($I866,"-","",1),$K867:$Q1119,7,false),VLOOKUP($K866,$K867:$Q1119,7,false))))</f>
        <v/>
      </c>
      <c r="R866" s="49" t="str">
        <f t="shared" si="2"/>
        <v/>
      </c>
      <c r="S866" s="51" t="str">
        <f t="shared" si="3"/>
        <v/>
      </c>
      <c r="T866" s="52" t="str">
        <f t="shared" si="4"/>
        <v/>
      </c>
      <c r="U866" s="46" t="str">
        <f t="shared" si="5"/>
        <v/>
      </c>
      <c r="V866" s="53" t="str">
        <f>IFERROR(__xludf.DUMMYFUNCTION(" IF(Account!$F866&lt;&gt;"""", SPLIT(Account!$F866, "" ""), """")"),"")</f>
        <v/>
      </c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</row>
    <row r="867">
      <c r="A867" s="215"/>
      <c r="B867" s="215"/>
      <c r="C867" s="215"/>
      <c r="D867" s="215"/>
      <c r="E867" s="215"/>
      <c r="F867" s="373"/>
      <c r="G867" s="215"/>
      <c r="H867" s="215"/>
      <c r="I867" s="215"/>
      <c r="J867" s="215"/>
      <c r="K867" s="215"/>
      <c r="L867" s="45" t="str">
        <f t="shared" si="1"/>
        <v/>
      </c>
      <c r="M867" s="46" t="str">
        <f>IFERROR(__xludf.DUMMYFUNCTION("IF(Account!$F867&lt;&gt;"""", VALUE(REGEXREPLACE($I867, ""\,"", ""."")), """")"),"")</f>
        <v/>
      </c>
      <c r="N867" s="47" t="str">
        <f>IF(Account!$F867&lt;&gt;"", DATEVALUE(MID($A867,4,3) &amp; LEFT($A867,3) &amp; RIGHT($A867,4)) + TIMEVALUE($B867), "")</f>
        <v/>
      </c>
      <c r="O867" s="48" t="str">
        <f>IF(Account!$F867&lt;&gt;"", DATEVALUE(MID($A867,4,3) &amp; LEFT($A867,3) &amp; RIGHT($A867,4)), "")</f>
        <v/>
      </c>
      <c r="P867" s="49" t="str">
        <f>IFERROR(VLOOKUP($Q867,Selection!$F:$G,2,false))</f>
        <v/>
      </c>
      <c r="Q867" s="50" t="str">
        <f>IF(AND($X867="change",$H867="EUR"),IF(AND($Z867="Crédit",$N867=$N868),$Q868,IF(AND($Z867="Débit",$N867=$N866),$Q866)),IF(OR(AND(OR($E867&lt;&gt;"",$L867=""),$M867&lt;&gt;0),$A867=""),IFERROR(VLOOKUP($E867,Selection!$E:$F,2,false)),IFERROR(VLOOKUP(SUBSTITUTE($I867,"-","",1),$K868:$Q1119,7,false),VLOOKUP($K867,$K868:$Q1119,7,false))))</f>
        <v/>
      </c>
      <c r="R867" s="49" t="str">
        <f t="shared" si="2"/>
        <v/>
      </c>
      <c r="S867" s="51" t="str">
        <f t="shared" si="3"/>
        <v/>
      </c>
      <c r="T867" s="52" t="str">
        <f t="shared" si="4"/>
        <v/>
      </c>
      <c r="U867" s="46" t="str">
        <f t="shared" si="5"/>
        <v/>
      </c>
      <c r="V867" s="53" t="str">
        <f>IFERROR(__xludf.DUMMYFUNCTION(" IF(Account!$F867&lt;&gt;"""", SPLIT(Account!$F867, "" ""), """")"),"")</f>
        <v/>
      </c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</row>
    <row r="868">
      <c r="A868" s="215"/>
      <c r="B868" s="215"/>
      <c r="C868" s="215"/>
      <c r="D868" s="215"/>
      <c r="E868" s="215"/>
      <c r="F868" s="373"/>
      <c r="G868" s="215"/>
      <c r="H868" s="215"/>
      <c r="I868" s="215"/>
      <c r="J868" s="215"/>
      <c r="K868" s="215"/>
      <c r="L868" s="45" t="str">
        <f t="shared" si="1"/>
        <v/>
      </c>
      <c r="M868" s="46" t="str">
        <f>IFERROR(__xludf.DUMMYFUNCTION("IF(Account!$F868&lt;&gt;"""", VALUE(REGEXREPLACE($I868, ""\,"", ""."")), """")"),"")</f>
        <v/>
      </c>
      <c r="N868" s="47" t="str">
        <f>IF(Account!$F868&lt;&gt;"", DATEVALUE(MID($A868,4,3) &amp; LEFT($A868,3) &amp; RIGHT($A868,4)) + TIMEVALUE($B868), "")</f>
        <v/>
      </c>
      <c r="O868" s="48" t="str">
        <f>IF(Account!$F868&lt;&gt;"", DATEVALUE(MID($A868,4,3) &amp; LEFT($A868,3) &amp; RIGHT($A868,4)), "")</f>
        <v/>
      </c>
      <c r="P868" s="49" t="str">
        <f>IFERROR(VLOOKUP($Q868,Selection!$F:$G,2,false))</f>
        <v/>
      </c>
      <c r="Q868" s="50" t="str">
        <f>IF(AND($X868="change",$H868="EUR"),IF(AND($Z868="Crédit",$N868=$N869),$Q869,IF(AND($Z868="Débit",$N868=$N867),$Q867)),IF(OR(AND(OR($E868&lt;&gt;"",$L868=""),$M868&lt;&gt;0),$A868=""),IFERROR(VLOOKUP($E868,Selection!$E:$F,2,false)),IFERROR(VLOOKUP(SUBSTITUTE($I868,"-","",1),$K869:$Q1119,7,false),VLOOKUP($K868,$K869:$Q1119,7,false))))</f>
        <v/>
      </c>
      <c r="R868" s="49" t="str">
        <f t="shared" si="2"/>
        <v/>
      </c>
      <c r="S868" s="51" t="str">
        <f t="shared" si="3"/>
        <v/>
      </c>
      <c r="T868" s="52" t="str">
        <f t="shared" si="4"/>
        <v/>
      </c>
      <c r="U868" s="46" t="str">
        <f t="shared" si="5"/>
        <v/>
      </c>
      <c r="V868" s="53" t="str">
        <f>IFERROR(__xludf.DUMMYFUNCTION(" IF(Account!$F868&lt;&gt;"""", SPLIT(Account!$F868, "" ""), """")"),"")</f>
        <v/>
      </c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</row>
    <row r="869">
      <c r="A869" s="215"/>
      <c r="B869" s="215"/>
      <c r="C869" s="215"/>
      <c r="D869" s="215"/>
      <c r="E869" s="215"/>
      <c r="F869" s="373"/>
      <c r="G869" s="215"/>
      <c r="H869" s="215"/>
      <c r="I869" s="215"/>
      <c r="J869" s="215"/>
      <c r="K869" s="215"/>
      <c r="L869" s="45" t="str">
        <f t="shared" si="1"/>
        <v/>
      </c>
      <c r="M869" s="46" t="str">
        <f>IFERROR(__xludf.DUMMYFUNCTION("IF(Account!$F869&lt;&gt;"""", VALUE(REGEXREPLACE($I869, ""\,"", ""."")), """")"),"")</f>
        <v/>
      </c>
      <c r="N869" s="47" t="str">
        <f>IF(Account!$F869&lt;&gt;"", DATEVALUE(MID($A869,4,3) &amp; LEFT($A869,3) &amp; RIGHT($A869,4)) + TIMEVALUE($B869), "")</f>
        <v/>
      </c>
      <c r="O869" s="48" t="str">
        <f>IF(Account!$F869&lt;&gt;"", DATEVALUE(MID($A869,4,3) &amp; LEFT($A869,3) &amp; RIGHT($A869,4)), "")</f>
        <v/>
      </c>
      <c r="P869" s="49" t="str">
        <f>IFERROR(VLOOKUP($Q869,Selection!$F:$G,2,false))</f>
        <v/>
      </c>
      <c r="Q869" s="50" t="str">
        <f>IF(AND($X869="change",$H869="EUR"),IF(AND($Z869="Crédit",$N869=$N870),$Q870,IF(AND($Z869="Débit",$N869=$N868),$Q868)),IF(OR(AND(OR($E869&lt;&gt;"",$L869=""),$M869&lt;&gt;0),$A869=""),IFERROR(VLOOKUP($E869,Selection!$E:$F,2,false)),IFERROR(VLOOKUP(SUBSTITUTE($I869,"-","",1),$K870:$Q1119,7,false),VLOOKUP($K869,$K870:$Q1119,7,false))))</f>
        <v/>
      </c>
      <c r="R869" s="49" t="str">
        <f t="shared" si="2"/>
        <v/>
      </c>
      <c r="S869" s="51" t="str">
        <f t="shared" si="3"/>
        <v/>
      </c>
      <c r="T869" s="52" t="str">
        <f t="shared" si="4"/>
        <v/>
      </c>
      <c r="U869" s="46" t="str">
        <f t="shared" si="5"/>
        <v/>
      </c>
      <c r="V869" s="53" t="str">
        <f>IFERROR(__xludf.DUMMYFUNCTION(" IF(Account!$F869&lt;&gt;"""", SPLIT(Account!$F869, "" ""), """")"),"")</f>
        <v/>
      </c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</row>
    <row r="870">
      <c r="A870" s="215"/>
      <c r="B870" s="215"/>
      <c r="C870" s="215"/>
      <c r="D870" s="215"/>
      <c r="E870" s="215"/>
      <c r="F870" s="373"/>
      <c r="G870" s="215"/>
      <c r="H870" s="215"/>
      <c r="I870" s="215"/>
      <c r="J870" s="215"/>
      <c r="K870" s="215"/>
      <c r="L870" s="45" t="str">
        <f t="shared" si="1"/>
        <v/>
      </c>
      <c r="M870" s="46" t="str">
        <f>IFERROR(__xludf.DUMMYFUNCTION("IF(Account!$F870&lt;&gt;"""", VALUE(REGEXREPLACE($I870, ""\,"", ""."")), """")"),"")</f>
        <v/>
      </c>
      <c r="N870" s="47" t="str">
        <f>IF(Account!$F870&lt;&gt;"", DATEVALUE(MID($A870,4,3) &amp; LEFT($A870,3) &amp; RIGHT($A870,4)) + TIMEVALUE($B870), "")</f>
        <v/>
      </c>
      <c r="O870" s="48" t="str">
        <f>IF(Account!$F870&lt;&gt;"", DATEVALUE(MID($A870,4,3) &amp; LEFT($A870,3) &amp; RIGHT($A870,4)), "")</f>
        <v/>
      </c>
      <c r="P870" s="49" t="str">
        <f>IFERROR(VLOOKUP($Q870,Selection!$F:$G,2,false))</f>
        <v/>
      </c>
      <c r="Q870" s="50" t="str">
        <f>IF(AND($X870="change",$H870="EUR"),IF(AND($Z870="Crédit",$N870=$N871),$Q871,IF(AND($Z870="Débit",$N870=$N869),$Q869)),IF(OR(AND(OR($E870&lt;&gt;"",$L870=""),$M870&lt;&gt;0),$A870=""),IFERROR(VLOOKUP($E870,Selection!$E:$F,2,false)),IFERROR(VLOOKUP(SUBSTITUTE($I870,"-","",1),$K871:$Q1119,7,false),VLOOKUP($K870,$K871:$Q1119,7,false))))</f>
        <v/>
      </c>
      <c r="R870" s="49" t="str">
        <f t="shared" si="2"/>
        <v/>
      </c>
      <c r="S870" s="51" t="str">
        <f t="shared" si="3"/>
        <v/>
      </c>
      <c r="T870" s="52" t="str">
        <f t="shared" si="4"/>
        <v/>
      </c>
      <c r="U870" s="46" t="str">
        <f t="shared" si="5"/>
        <v/>
      </c>
      <c r="V870" s="53" t="str">
        <f>IFERROR(__xludf.DUMMYFUNCTION(" IF(Account!$F870&lt;&gt;"""", SPLIT(Account!$F870, "" ""), """")"),"")</f>
        <v/>
      </c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</row>
    <row r="871">
      <c r="A871" s="215"/>
      <c r="B871" s="215"/>
      <c r="C871" s="215"/>
      <c r="D871" s="215"/>
      <c r="E871" s="215"/>
      <c r="F871" s="373"/>
      <c r="G871" s="215"/>
      <c r="H871" s="215"/>
      <c r="I871" s="215"/>
      <c r="J871" s="215"/>
      <c r="K871" s="215"/>
      <c r="L871" s="45" t="str">
        <f t="shared" si="1"/>
        <v/>
      </c>
      <c r="M871" s="46" t="str">
        <f>IFERROR(__xludf.DUMMYFUNCTION("IF(Account!$F871&lt;&gt;"""", VALUE(REGEXREPLACE($I871, ""\,"", ""."")), """")"),"")</f>
        <v/>
      </c>
      <c r="N871" s="47" t="str">
        <f>IF(Account!$F871&lt;&gt;"", DATEVALUE(MID($A871,4,3) &amp; LEFT($A871,3) &amp; RIGHT($A871,4)) + TIMEVALUE($B871), "")</f>
        <v/>
      </c>
      <c r="O871" s="48" t="str">
        <f>IF(Account!$F871&lt;&gt;"", DATEVALUE(MID($A871,4,3) &amp; LEFT($A871,3) &amp; RIGHT($A871,4)), "")</f>
        <v/>
      </c>
      <c r="P871" s="49" t="str">
        <f>IFERROR(VLOOKUP($Q871,Selection!$F:$G,2,false))</f>
        <v/>
      </c>
      <c r="Q871" s="50" t="str">
        <f>IF(AND($X871="change",$H871="EUR"),IF(AND($Z871="Crédit",$N871=$N872),$Q872,IF(AND($Z871="Débit",$N871=$N870),$Q870)),IF(OR(AND(OR($E871&lt;&gt;"",$L871=""),$M871&lt;&gt;0),$A871=""),IFERROR(VLOOKUP($E871,Selection!$E:$F,2,false)),IFERROR(VLOOKUP(SUBSTITUTE($I871,"-","",1),$K872:$Q1119,7,false),VLOOKUP($K871,$K872:$Q1119,7,false))))</f>
        <v/>
      </c>
      <c r="R871" s="49" t="str">
        <f t="shared" si="2"/>
        <v/>
      </c>
      <c r="S871" s="51" t="str">
        <f t="shared" si="3"/>
        <v/>
      </c>
      <c r="T871" s="52" t="str">
        <f t="shared" si="4"/>
        <v/>
      </c>
      <c r="U871" s="46" t="str">
        <f t="shared" si="5"/>
        <v/>
      </c>
      <c r="V871" s="53" t="str">
        <f>IFERROR(__xludf.DUMMYFUNCTION(" IF(Account!$F871&lt;&gt;"""", SPLIT(Account!$F871, "" ""), """")"),"")</f>
        <v/>
      </c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</row>
    <row r="872">
      <c r="A872" s="215"/>
      <c r="B872" s="215"/>
      <c r="C872" s="215"/>
      <c r="D872" s="215"/>
      <c r="E872" s="215"/>
      <c r="F872" s="373"/>
      <c r="G872" s="215"/>
      <c r="H872" s="215"/>
      <c r="I872" s="215"/>
      <c r="J872" s="215"/>
      <c r="K872" s="215"/>
      <c r="L872" s="45" t="str">
        <f t="shared" si="1"/>
        <v/>
      </c>
      <c r="M872" s="46" t="str">
        <f>IFERROR(__xludf.DUMMYFUNCTION("IF(Account!$F872&lt;&gt;"""", VALUE(REGEXREPLACE($I872, ""\,"", ""."")), """")"),"")</f>
        <v/>
      </c>
      <c r="N872" s="47" t="str">
        <f>IF(Account!$F872&lt;&gt;"", DATEVALUE(MID($A872,4,3) &amp; LEFT($A872,3) &amp; RIGHT($A872,4)) + TIMEVALUE($B872), "")</f>
        <v/>
      </c>
      <c r="O872" s="48" t="str">
        <f>IF(Account!$F872&lt;&gt;"", DATEVALUE(MID($A872,4,3) &amp; LEFT($A872,3) &amp; RIGHT($A872,4)), "")</f>
        <v/>
      </c>
      <c r="P872" s="49" t="str">
        <f>IFERROR(VLOOKUP($Q872,Selection!$F:$G,2,false))</f>
        <v/>
      </c>
      <c r="Q872" s="50" t="str">
        <f>IF(AND($X872="change",$H872="EUR"),IF(AND($Z872="Crédit",$N872=$N873),$Q873,IF(AND($Z872="Débit",$N872=$N871),$Q871)),IF(OR(AND(OR($E872&lt;&gt;"",$L872=""),$M872&lt;&gt;0),$A872=""),IFERROR(VLOOKUP($E872,Selection!$E:$F,2,false)),IFERROR(VLOOKUP(SUBSTITUTE($I872,"-","",1),$K873:$Q1119,7,false),VLOOKUP($K872,$K873:$Q1119,7,false))))</f>
        <v/>
      </c>
      <c r="R872" s="49" t="str">
        <f t="shared" si="2"/>
        <v/>
      </c>
      <c r="S872" s="51" t="str">
        <f t="shared" si="3"/>
        <v/>
      </c>
      <c r="T872" s="52" t="str">
        <f t="shared" si="4"/>
        <v/>
      </c>
      <c r="U872" s="46" t="str">
        <f t="shared" si="5"/>
        <v/>
      </c>
      <c r="V872" s="53" t="str">
        <f>IFERROR(__xludf.DUMMYFUNCTION(" IF(Account!$F872&lt;&gt;"""", SPLIT(Account!$F872, "" ""), """")"),"")</f>
        <v/>
      </c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</row>
    <row r="873">
      <c r="A873" s="215"/>
      <c r="B873" s="215"/>
      <c r="C873" s="215"/>
      <c r="D873" s="215"/>
      <c r="E873" s="215"/>
      <c r="F873" s="373"/>
      <c r="G873" s="215"/>
      <c r="H873" s="215"/>
      <c r="I873" s="215"/>
      <c r="J873" s="215"/>
      <c r="K873" s="215"/>
      <c r="L873" s="45" t="str">
        <f t="shared" si="1"/>
        <v/>
      </c>
      <c r="M873" s="46" t="str">
        <f>IFERROR(__xludf.DUMMYFUNCTION("IF(Account!$F873&lt;&gt;"""", VALUE(REGEXREPLACE($I873, ""\,"", ""."")), """")"),"")</f>
        <v/>
      </c>
      <c r="N873" s="47" t="str">
        <f>IF(Account!$F873&lt;&gt;"", DATEVALUE(MID($A873,4,3) &amp; LEFT($A873,3) &amp; RIGHT($A873,4)) + TIMEVALUE($B873), "")</f>
        <v/>
      </c>
      <c r="O873" s="48" t="str">
        <f>IF(Account!$F873&lt;&gt;"", DATEVALUE(MID($A873,4,3) &amp; LEFT($A873,3) &amp; RIGHT($A873,4)), "")</f>
        <v/>
      </c>
      <c r="P873" s="49" t="str">
        <f>IFERROR(VLOOKUP($Q873,Selection!$F:$G,2,false))</f>
        <v/>
      </c>
      <c r="Q873" s="50" t="str">
        <f>IF(AND($X873="change",$H873="EUR"),IF(AND($Z873="Crédit",$N873=$N874),$Q874,IF(AND($Z873="Débit",$N873=$N872),$Q872)),IF(OR(AND(OR($E873&lt;&gt;"",$L873=""),$M873&lt;&gt;0),$A873=""),IFERROR(VLOOKUP($E873,Selection!$E:$F,2,false)),IFERROR(VLOOKUP(SUBSTITUTE($I873,"-","",1),$K874:$Q1119,7,false),VLOOKUP($K873,$K874:$Q1119,7,false))))</f>
        <v/>
      </c>
      <c r="R873" s="49" t="str">
        <f t="shared" si="2"/>
        <v/>
      </c>
      <c r="S873" s="51" t="str">
        <f t="shared" si="3"/>
        <v/>
      </c>
      <c r="T873" s="52" t="str">
        <f t="shared" si="4"/>
        <v/>
      </c>
      <c r="U873" s="46" t="str">
        <f t="shared" si="5"/>
        <v/>
      </c>
      <c r="V873" s="53" t="str">
        <f>IFERROR(__xludf.DUMMYFUNCTION(" IF(Account!$F873&lt;&gt;"""", SPLIT(Account!$F873, "" ""), """")"),"")</f>
        <v/>
      </c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</row>
    <row r="874">
      <c r="A874" s="215"/>
      <c r="B874" s="215"/>
      <c r="C874" s="215"/>
      <c r="D874" s="215"/>
      <c r="E874" s="215"/>
      <c r="F874" s="373"/>
      <c r="G874" s="215"/>
      <c r="H874" s="215"/>
      <c r="I874" s="215"/>
      <c r="J874" s="215"/>
      <c r="K874" s="215"/>
      <c r="L874" s="45" t="str">
        <f t="shared" si="1"/>
        <v/>
      </c>
      <c r="M874" s="46" t="str">
        <f>IFERROR(__xludf.DUMMYFUNCTION("IF(Account!$F874&lt;&gt;"""", VALUE(REGEXREPLACE($I874, ""\,"", ""."")), """")"),"")</f>
        <v/>
      </c>
      <c r="N874" s="47" t="str">
        <f>IF(Account!$F874&lt;&gt;"", DATEVALUE(MID($A874,4,3) &amp; LEFT($A874,3) &amp; RIGHT($A874,4)) + TIMEVALUE($B874), "")</f>
        <v/>
      </c>
      <c r="O874" s="48" t="str">
        <f>IF(Account!$F874&lt;&gt;"", DATEVALUE(MID($A874,4,3) &amp; LEFT($A874,3) &amp; RIGHT($A874,4)), "")</f>
        <v/>
      </c>
      <c r="P874" s="49" t="str">
        <f>IFERROR(VLOOKUP($Q874,Selection!$F:$G,2,false))</f>
        <v/>
      </c>
      <c r="Q874" s="50" t="str">
        <f>IF(AND($X874="change",$H874="EUR"),IF(AND($Z874="Crédit",$N874=$N875),$Q875,IF(AND($Z874="Débit",$N874=$N873),$Q873)),IF(OR(AND(OR($E874&lt;&gt;"",$L874=""),$M874&lt;&gt;0),$A874=""),IFERROR(VLOOKUP($E874,Selection!$E:$F,2,false)),IFERROR(VLOOKUP(SUBSTITUTE($I874,"-","",1),$K875:$Q1119,7,false),VLOOKUP($K874,$K875:$Q1119,7,false))))</f>
        <v/>
      </c>
      <c r="R874" s="49" t="str">
        <f t="shared" si="2"/>
        <v/>
      </c>
      <c r="S874" s="51" t="str">
        <f t="shared" si="3"/>
        <v/>
      </c>
      <c r="T874" s="52" t="str">
        <f t="shared" si="4"/>
        <v/>
      </c>
      <c r="U874" s="46" t="str">
        <f t="shared" si="5"/>
        <v/>
      </c>
      <c r="V874" s="53" t="str">
        <f>IFERROR(__xludf.DUMMYFUNCTION(" IF(Account!$F874&lt;&gt;"""", SPLIT(Account!$F874, "" ""), """")"),"")</f>
        <v/>
      </c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</row>
    <row r="875">
      <c r="A875" s="215"/>
      <c r="B875" s="215"/>
      <c r="C875" s="215"/>
      <c r="D875" s="215"/>
      <c r="E875" s="215"/>
      <c r="F875" s="373"/>
      <c r="G875" s="215"/>
      <c r="H875" s="215"/>
      <c r="I875" s="215"/>
      <c r="J875" s="215"/>
      <c r="K875" s="215"/>
      <c r="L875" s="45" t="str">
        <f t="shared" si="1"/>
        <v/>
      </c>
      <c r="M875" s="46" t="str">
        <f>IFERROR(__xludf.DUMMYFUNCTION("IF(Account!$F875&lt;&gt;"""", VALUE(REGEXREPLACE($I875, ""\,"", ""."")), """")"),"")</f>
        <v/>
      </c>
      <c r="N875" s="47" t="str">
        <f>IF(Account!$F875&lt;&gt;"", DATEVALUE(MID($A875,4,3) &amp; LEFT($A875,3) &amp; RIGHT($A875,4)) + TIMEVALUE($B875), "")</f>
        <v/>
      </c>
      <c r="O875" s="48" t="str">
        <f>IF(Account!$F875&lt;&gt;"", DATEVALUE(MID($A875,4,3) &amp; LEFT($A875,3) &amp; RIGHT($A875,4)), "")</f>
        <v/>
      </c>
      <c r="P875" s="49" t="str">
        <f>IFERROR(VLOOKUP($Q875,Selection!$F:$G,2,false))</f>
        <v/>
      </c>
      <c r="Q875" s="50" t="str">
        <f>IF(AND($X875="change",$H875="EUR"),IF(AND($Z875="Crédit",$N875=$N876),$Q876,IF(AND($Z875="Débit",$N875=$N874),$Q874)),IF(OR(AND(OR($E875&lt;&gt;"",$L875=""),$M875&lt;&gt;0),$A875=""),IFERROR(VLOOKUP($E875,Selection!$E:$F,2,false)),IFERROR(VLOOKUP(SUBSTITUTE($I875,"-","",1),$K876:$Q1119,7,false),VLOOKUP($K875,$K876:$Q1119,7,false))))</f>
        <v/>
      </c>
      <c r="R875" s="49" t="str">
        <f t="shared" si="2"/>
        <v/>
      </c>
      <c r="S875" s="51" t="str">
        <f t="shared" si="3"/>
        <v/>
      </c>
      <c r="T875" s="52" t="str">
        <f t="shared" si="4"/>
        <v/>
      </c>
      <c r="U875" s="46" t="str">
        <f t="shared" si="5"/>
        <v/>
      </c>
      <c r="V875" s="53" t="str">
        <f>IFERROR(__xludf.DUMMYFUNCTION(" IF(Account!$F875&lt;&gt;"""", SPLIT(Account!$F875, "" ""), """")"),"")</f>
        <v/>
      </c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</row>
    <row r="876">
      <c r="A876" s="215"/>
      <c r="B876" s="215"/>
      <c r="C876" s="215"/>
      <c r="D876" s="215"/>
      <c r="E876" s="215"/>
      <c r="F876" s="373"/>
      <c r="G876" s="215"/>
      <c r="H876" s="215"/>
      <c r="I876" s="215"/>
      <c r="J876" s="215"/>
      <c r="K876" s="215"/>
      <c r="L876" s="45" t="str">
        <f t="shared" si="1"/>
        <v/>
      </c>
      <c r="M876" s="46" t="str">
        <f>IFERROR(__xludf.DUMMYFUNCTION("IF(Account!$F876&lt;&gt;"""", VALUE(REGEXREPLACE($I876, ""\,"", ""."")), """")"),"")</f>
        <v/>
      </c>
      <c r="N876" s="47" t="str">
        <f>IF(Account!$F876&lt;&gt;"", DATEVALUE(MID($A876,4,3) &amp; LEFT($A876,3) &amp; RIGHT($A876,4)) + TIMEVALUE($B876), "")</f>
        <v/>
      </c>
      <c r="O876" s="48" t="str">
        <f>IF(Account!$F876&lt;&gt;"", DATEVALUE(MID($A876,4,3) &amp; LEFT($A876,3) &amp; RIGHT($A876,4)), "")</f>
        <v/>
      </c>
      <c r="P876" s="49" t="str">
        <f>IFERROR(VLOOKUP($Q876,Selection!$F:$G,2,false))</f>
        <v/>
      </c>
      <c r="Q876" s="50" t="str">
        <f>IF(AND($X876="change",$H876="EUR"),IF(AND($Z876="Crédit",$N876=$N877),$Q877,IF(AND($Z876="Débit",$N876=$N875),$Q875)),IF(OR(AND(OR($E876&lt;&gt;"",$L876=""),$M876&lt;&gt;0),$A876=""),IFERROR(VLOOKUP($E876,Selection!$E:$F,2,false)),IFERROR(VLOOKUP(SUBSTITUTE($I876,"-","",1),$K877:$Q1119,7,false),VLOOKUP($K876,$K877:$Q1119,7,false))))</f>
        <v/>
      </c>
      <c r="R876" s="49" t="str">
        <f t="shared" si="2"/>
        <v/>
      </c>
      <c r="S876" s="51" t="str">
        <f t="shared" si="3"/>
        <v/>
      </c>
      <c r="T876" s="52" t="str">
        <f t="shared" si="4"/>
        <v/>
      </c>
      <c r="U876" s="46" t="str">
        <f t="shared" si="5"/>
        <v/>
      </c>
      <c r="V876" s="53" t="str">
        <f>IFERROR(__xludf.DUMMYFUNCTION(" IF(Account!$F876&lt;&gt;"""", SPLIT(Account!$F876, "" ""), """")"),"")</f>
        <v/>
      </c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</row>
    <row r="877">
      <c r="A877" s="215"/>
      <c r="B877" s="215"/>
      <c r="C877" s="215"/>
      <c r="D877" s="215"/>
      <c r="E877" s="215"/>
      <c r="F877" s="373"/>
      <c r="G877" s="215"/>
      <c r="H877" s="215"/>
      <c r="I877" s="215"/>
      <c r="J877" s="215"/>
      <c r="K877" s="215"/>
      <c r="L877" s="45" t="str">
        <f t="shared" si="1"/>
        <v/>
      </c>
      <c r="M877" s="46" t="str">
        <f>IFERROR(__xludf.DUMMYFUNCTION("IF(Account!$F877&lt;&gt;"""", VALUE(REGEXREPLACE($I877, ""\,"", ""."")), """")"),"")</f>
        <v/>
      </c>
      <c r="N877" s="47" t="str">
        <f>IF(Account!$F877&lt;&gt;"", DATEVALUE(MID($A877,4,3) &amp; LEFT($A877,3) &amp; RIGHT($A877,4)) + TIMEVALUE($B877), "")</f>
        <v/>
      </c>
      <c r="O877" s="48" t="str">
        <f>IF(Account!$F877&lt;&gt;"", DATEVALUE(MID($A877,4,3) &amp; LEFT($A877,3) &amp; RIGHT($A877,4)), "")</f>
        <v/>
      </c>
      <c r="P877" s="49" t="str">
        <f>IFERROR(VLOOKUP($Q877,Selection!$F:$G,2,false))</f>
        <v/>
      </c>
      <c r="Q877" s="50" t="str">
        <f>IF(AND($X877="change",$H877="EUR"),IF(AND($Z877="Crédit",$N877=$N878),$Q878,IF(AND($Z877="Débit",$N877=$N876),$Q876)),IF(OR(AND(OR($E877&lt;&gt;"",$L877=""),$M877&lt;&gt;0),$A877=""),IFERROR(VLOOKUP($E877,Selection!$E:$F,2,false)),IFERROR(VLOOKUP(SUBSTITUTE($I877,"-","",1),$K878:$Q1119,7,false),VLOOKUP($K877,$K878:$Q1119,7,false))))</f>
        <v/>
      </c>
      <c r="R877" s="49" t="str">
        <f t="shared" si="2"/>
        <v/>
      </c>
      <c r="S877" s="51" t="str">
        <f t="shared" si="3"/>
        <v/>
      </c>
      <c r="T877" s="52" t="str">
        <f t="shared" si="4"/>
        <v/>
      </c>
      <c r="U877" s="46" t="str">
        <f t="shared" si="5"/>
        <v/>
      </c>
      <c r="V877" s="53" t="str">
        <f>IFERROR(__xludf.DUMMYFUNCTION(" IF(Account!$F877&lt;&gt;"""", SPLIT(Account!$F877, "" ""), """")"),"")</f>
        <v/>
      </c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</row>
    <row r="878">
      <c r="A878" s="215"/>
      <c r="B878" s="215"/>
      <c r="C878" s="215"/>
      <c r="D878" s="215"/>
      <c r="E878" s="215"/>
      <c r="F878" s="373"/>
      <c r="G878" s="215"/>
      <c r="H878" s="215"/>
      <c r="I878" s="215"/>
      <c r="J878" s="215"/>
      <c r="K878" s="215"/>
      <c r="L878" s="45" t="str">
        <f t="shared" si="1"/>
        <v/>
      </c>
      <c r="M878" s="46" t="str">
        <f>IFERROR(__xludf.DUMMYFUNCTION("IF(Account!$F878&lt;&gt;"""", VALUE(REGEXREPLACE($I878, ""\,"", ""."")), """")"),"")</f>
        <v/>
      </c>
      <c r="N878" s="47" t="str">
        <f>IF(Account!$F878&lt;&gt;"", DATEVALUE(MID($A878,4,3) &amp; LEFT($A878,3) &amp; RIGHT($A878,4)) + TIMEVALUE($B878), "")</f>
        <v/>
      </c>
      <c r="O878" s="48" t="str">
        <f>IF(Account!$F878&lt;&gt;"", DATEVALUE(MID($A878,4,3) &amp; LEFT($A878,3) &amp; RIGHT($A878,4)), "")</f>
        <v/>
      </c>
      <c r="P878" s="49" t="str">
        <f>IFERROR(VLOOKUP($Q878,Selection!$F:$G,2,false))</f>
        <v/>
      </c>
      <c r="Q878" s="50" t="str">
        <f>IF(AND($X878="change",$H878="EUR"),IF(AND($Z878="Crédit",$N878=$N879),$Q879,IF(AND($Z878="Débit",$N878=$N877),$Q877)),IF(OR(AND(OR($E878&lt;&gt;"",$L878=""),$M878&lt;&gt;0),$A878=""),IFERROR(VLOOKUP($E878,Selection!$E:$F,2,false)),IFERROR(VLOOKUP(SUBSTITUTE($I878,"-","",1),$K879:$Q1119,7,false),VLOOKUP($K878,$K879:$Q1119,7,false))))</f>
        <v/>
      </c>
      <c r="R878" s="49" t="str">
        <f t="shared" si="2"/>
        <v/>
      </c>
      <c r="S878" s="51" t="str">
        <f t="shared" si="3"/>
        <v/>
      </c>
      <c r="T878" s="52" t="str">
        <f t="shared" si="4"/>
        <v/>
      </c>
      <c r="U878" s="46" t="str">
        <f t="shared" si="5"/>
        <v/>
      </c>
      <c r="V878" s="53" t="str">
        <f>IFERROR(__xludf.DUMMYFUNCTION(" IF(Account!$F878&lt;&gt;"""", SPLIT(Account!$F878, "" ""), """")"),"")</f>
        <v/>
      </c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</row>
    <row r="879">
      <c r="A879" s="215"/>
      <c r="B879" s="215"/>
      <c r="C879" s="215"/>
      <c r="D879" s="215"/>
      <c r="E879" s="215"/>
      <c r="F879" s="373"/>
      <c r="G879" s="215"/>
      <c r="H879" s="215"/>
      <c r="I879" s="215"/>
      <c r="J879" s="215"/>
      <c r="K879" s="215"/>
      <c r="L879" s="45" t="str">
        <f t="shared" si="1"/>
        <v/>
      </c>
      <c r="M879" s="46" t="str">
        <f>IFERROR(__xludf.DUMMYFUNCTION("IF(Account!$F879&lt;&gt;"""", VALUE(REGEXREPLACE($I879, ""\,"", ""."")), """")"),"")</f>
        <v/>
      </c>
      <c r="N879" s="47" t="str">
        <f>IF(Account!$F879&lt;&gt;"", DATEVALUE(MID($A879,4,3) &amp; LEFT($A879,3) &amp; RIGHT($A879,4)) + TIMEVALUE($B879), "")</f>
        <v/>
      </c>
      <c r="O879" s="48" t="str">
        <f>IF(Account!$F879&lt;&gt;"", DATEVALUE(MID($A879,4,3) &amp; LEFT($A879,3) &amp; RIGHT($A879,4)), "")</f>
        <v/>
      </c>
      <c r="P879" s="49" t="str">
        <f>IFERROR(VLOOKUP($Q879,Selection!$F:$G,2,false))</f>
        <v/>
      </c>
      <c r="Q879" s="50" t="str">
        <f>IF(AND($X879="change",$H879="EUR"),IF(AND($Z879="Crédit",$N879=$N880),$Q880,IF(AND($Z879="Débit",$N879=$N878),$Q878)),IF(OR(AND(OR($E879&lt;&gt;"",$L879=""),$M879&lt;&gt;0),$A879=""),IFERROR(VLOOKUP($E879,Selection!$E:$F,2,false)),IFERROR(VLOOKUP(SUBSTITUTE($I879,"-","",1),$K880:$Q1119,7,false),VLOOKUP($K879,$K880:$Q1119,7,false))))</f>
        <v/>
      </c>
      <c r="R879" s="49" t="str">
        <f t="shared" si="2"/>
        <v/>
      </c>
      <c r="S879" s="51" t="str">
        <f t="shared" si="3"/>
        <v/>
      </c>
      <c r="T879" s="52" t="str">
        <f t="shared" si="4"/>
        <v/>
      </c>
      <c r="U879" s="46" t="str">
        <f t="shared" si="5"/>
        <v/>
      </c>
      <c r="V879" s="53" t="str">
        <f>IFERROR(__xludf.DUMMYFUNCTION(" IF(Account!$F879&lt;&gt;"""", SPLIT(Account!$F879, "" ""), """")"),"")</f>
        <v/>
      </c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</row>
    <row r="880">
      <c r="A880" s="215"/>
      <c r="B880" s="215"/>
      <c r="C880" s="215"/>
      <c r="D880" s="215"/>
      <c r="E880" s="215"/>
      <c r="F880" s="373"/>
      <c r="G880" s="215"/>
      <c r="H880" s="215"/>
      <c r="I880" s="215"/>
      <c r="J880" s="215"/>
      <c r="K880" s="215"/>
      <c r="L880" s="45" t="str">
        <f t="shared" si="1"/>
        <v/>
      </c>
      <c r="M880" s="46" t="str">
        <f>IFERROR(__xludf.DUMMYFUNCTION("IF(Account!$F880&lt;&gt;"""", VALUE(REGEXREPLACE($I880, ""\,"", ""."")), """")"),"")</f>
        <v/>
      </c>
      <c r="N880" s="47" t="str">
        <f>IF(Account!$F880&lt;&gt;"", DATEVALUE(MID($A880,4,3) &amp; LEFT($A880,3) &amp; RIGHT($A880,4)) + TIMEVALUE($B880), "")</f>
        <v/>
      </c>
      <c r="O880" s="48" t="str">
        <f>IF(Account!$F880&lt;&gt;"", DATEVALUE(MID($A880,4,3) &amp; LEFT($A880,3) &amp; RIGHT($A880,4)), "")</f>
        <v/>
      </c>
      <c r="P880" s="49" t="str">
        <f>IFERROR(VLOOKUP($Q880,Selection!$F:$G,2,false))</f>
        <v/>
      </c>
      <c r="Q880" s="50" t="str">
        <f>IF(AND($X880="change",$H880="EUR"),IF(AND($Z880="Crédit",$N880=$N881),$Q881,IF(AND($Z880="Débit",$N880=$N879),$Q879)),IF(OR(AND(OR($E880&lt;&gt;"",$L880=""),$M880&lt;&gt;0),$A880=""),IFERROR(VLOOKUP($E880,Selection!$E:$F,2,false)),IFERROR(VLOOKUP(SUBSTITUTE($I880,"-","",1),$K881:$Q1119,7,false),VLOOKUP($K880,$K881:$Q1119,7,false))))</f>
        <v/>
      </c>
      <c r="R880" s="49" t="str">
        <f t="shared" si="2"/>
        <v/>
      </c>
      <c r="S880" s="51" t="str">
        <f t="shared" si="3"/>
        <v/>
      </c>
      <c r="T880" s="52" t="str">
        <f t="shared" si="4"/>
        <v/>
      </c>
      <c r="U880" s="46" t="str">
        <f t="shared" si="5"/>
        <v/>
      </c>
      <c r="V880" s="53" t="str">
        <f>IFERROR(__xludf.DUMMYFUNCTION(" IF(Account!$F880&lt;&gt;"""", SPLIT(Account!$F880, "" ""), """")"),"")</f>
        <v/>
      </c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</row>
    <row r="881">
      <c r="A881" s="215"/>
      <c r="B881" s="215"/>
      <c r="C881" s="215"/>
      <c r="D881" s="215"/>
      <c r="E881" s="215"/>
      <c r="F881" s="373"/>
      <c r="G881" s="215"/>
      <c r="H881" s="215"/>
      <c r="I881" s="215"/>
      <c r="J881" s="215"/>
      <c r="K881" s="215"/>
      <c r="L881" s="45" t="str">
        <f t="shared" si="1"/>
        <v/>
      </c>
      <c r="M881" s="46" t="str">
        <f>IFERROR(__xludf.DUMMYFUNCTION("IF(Account!$F881&lt;&gt;"""", VALUE(REGEXREPLACE($I881, ""\,"", ""."")), """")"),"")</f>
        <v/>
      </c>
      <c r="N881" s="47" t="str">
        <f>IF(Account!$F881&lt;&gt;"", DATEVALUE(MID($A881,4,3) &amp; LEFT($A881,3) &amp; RIGHT($A881,4)) + TIMEVALUE($B881), "")</f>
        <v/>
      </c>
      <c r="O881" s="48" t="str">
        <f>IF(Account!$F881&lt;&gt;"", DATEVALUE(MID($A881,4,3) &amp; LEFT($A881,3) &amp; RIGHT($A881,4)), "")</f>
        <v/>
      </c>
      <c r="P881" s="49" t="str">
        <f>IFERROR(VLOOKUP($Q881,Selection!$F:$G,2,false))</f>
        <v/>
      </c>
      <c r="Q881" s="50" t="str">
        <f>IF(AND($X881="change",$H881="EUR"),IF(AND($Z881="Crédit",$N881=$N882),$Q882,IF(AND($Z881="Débit",$N881=$N880),$Q880)),IF(OR(AND(OR($E881&lt;&gt;"",$L881=""),$M881&lt;&gt;0),$A881=""),IFERROR(VLOOKUP($E881,Selection!$E:$F,2,false)),IFERROR(VLOOKUP(SUBSTITUTE($I881,"-","",1),$K882:$Q1119,7,false),VLOOKUP($K881,$K882:$Q1119,7,false))))</f>
        <v/>
      </c>
      <c r="R881" s="49" t="str">
        <f t="shared" si="2"/>
        <v/>
      </c>
      <c r="S881" s="51" t="str">
        <f t="shared" si="3"/>
        <v/>
      </c>
      <c r="T881" s="52" t="str">
        <f t="shared" si="4"/>
        <v/>
      </c>
      <c r="U881" s="46" t="str">
        <f t="shared" si="5"/>
        <v/>
      </c>
      <c r="V881" s="53" t="str">
        <f>IFERROR(__xludf.DUMMYFUNCTION(" IF(Account!$F881&lt;&gt;"""", SPLIT(Account!$F881, "" ""), """")"),"")</f>
        <v/>
      </c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</row>
    <row r="882">
      <c r="A882" s="215"/>
      <c r="B882" s="215"/>
      <c r="C882" s="215"/>
      <c r="D882" s="215"/>
      <c r="E882" s="215"/>
      <c r="F882" s="373"/>
      <c r="G882" s="215"/>
      <c r="H882" s="215"/>
      <c r="I882" s="215"/>
      <c r="J882" s="215"/>
      <c r="K882" s="215"/>
      <c r="L882" s="45" t="str">
        <f t="shared" si="1"/>
        <v/>
      </c>
      <c r="M882" s="46" t="str">
        <f>IFERROR(__xludf.DUMMYFUNCTION("IF(Account!$F882&lt;&gt;"""", VALUE(REGEXREPLACE($I882, ""\,"", ""."")), """")"),"")</f>
        <v/>
      </c>
      <c r="N882" s="47" t="str">
        <f>IF(Account!$F882&lt;&gt;"", DATEVALUE(MID($A882,4,3) &amp; LEFT($A882,3) &amp; RIGHT($A882,4)) + TIMEVALUE($B882), "")</f>
        <v/>
      </c>
      <c r="O882" s="48" t="str">
        <f>IF(Account!$F882&lt;&gt;"", DATEVALUE(MID($A882,4,3) &amp; LEFT($A882,3) &amp; RIGHT($A882,4)), "")</f>
        <v/>
      </c>
      <c r="P882" s="49" t="str">
        <f>IFERROR(VLOOKUP($Q882,Selection!$F:$G,2,false))</f>
        <v/>
      </c>
      <c r="Q882" s="50" t="str">
        <f>IF(AND($X882="change",$H882="EUR"),IF(AND($Z882="Crédit",$N882=$N883),$Q883,IF(AND($Z882="Débit",$N882=$N881),$Q881)),IF(OR(AND(OR($E882&lt;&gt;"",$L882=""),$M882&lt;&gt;0),$A882=""),IFERROR(VLOOKUP($E882,Selection!$E:$F,2,false)),IFERROR(VLOOKUP(SUBSTITUTE($I882,"-","",1),$K883:$Q1119,7,false),VLOOKUP($K882,$K883:$Q1119,7,false))))</f>
        <v/>
      </c>
      <c r="R882" s="49" t="str">
        <f t="shared" si="2"/>
        <v/>
      </c>
      <c r="S882" s="51" t="str">
        <f t="shared" si="3"/>
        <v/>
      </c>
      <c r="T882" s="52" t="str">
        <f t="shared" si="4"/>
        <v/>
      </c>
      <c r="U882" s="46" t="str">
        <f t="shared" si="5"/>
        <v/>
      </c>
      <c r="V882" s="53" t="str">
        <f>IFERROR(__xludf.DUMMYFUNCTION(" IF(Account!$F882&lt;&gt;"""", SPLIT(Account!$F882, "" ""), """")"),"")</f>
        <v/>
      </c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</row>
    <row r="883">
      <c r="A883" s="215"/>
      <c r="B883" s="215"/>
      <c r="C883" s="215"/>
      <c r="D883" s="215"/>
      <c r="E883" s="215"/>
      <c r="F883" s="373"/>
      <c r="G883" s="215"/>
      <c r="H883" s="215"/>
      <c r="I883" s="215"/>
      <c r="J883" s="215"/>
      <c r="K883" s="215"/>
      <c r="L883" s="45" t="str">
        <f t="shared" si="1"/>
        <v/>
      </c>
      <c r="M883" s="46" t="str">
        <f>IFERROR(__xludf.DUMMYFUNCTION("IF(Account!$F883&lt;&gt;"""", VALUE(REGEXREPLACE($I883, ""\,"", ""."")), """")"),"")</f>
        <v/>
      </c>
      <c r="N883" s="47" t="str">
        <f>IF(Account!$F883&lt;&gt;"", DATEVALUE(MID($A883,4,3) &amp; LEFT($A883,3) &amp; RIGHT($A883,4)) + TIMEVALUE($B883), "")</f>
        <v/>
      </c>
      <c r="O883" s="48" t="str">
        <f>IF(Account!$F883&lt;&gt;"", DATEVALUE(MID($A883,4,3) &amp; LEFT($A883,3) &amp; RIGHT($A883,4)), "")</f>
        <v/>
      </c>
      <c r="P883" s="49" t="str">
        <f>IFERROR(VLOOKUP($Q883,Selection!$F:$G,2,false))</f>
        <v/>
      </c>
      <c r="Q883" s="50" t="str">
        <f>IF(AND($X883="change",$H883="EUR"),IF(AND($Z883="Crédit",$N883=$N884),$Q884,IF(AND($Z883="Débit",$N883=$N882),$Q882)),IF(OR(AND(OR($E883&lt;&gt;"",$L883=""),$M883&lt;&gt;0),$A883=""),IFERROR(VLOOKUP($E883,Selection!$E:$F,2,false)),IFERROR(VLOOKUP(SUBSTITUTE($I883,"-","",1),$K884:$Q1119,7,false),VLOOKUP($K883,$K884:$Q1119,7,false))))</f>
        <v/>
      </c>
      <c r="R883" s="49" t="str">
        <f t="shared" si="2"/>
        <v/>
      </c>
      <c r="S883" s="51" t="str">
        <f t="shared" si="3"/>
        <v/>
      </c>
      <c r="T883" s="52" t="str">
        <f t="shared" si="4"/>
        <v/>
      </c>
      <c r="U883" s="46" t="str">
        <f t="shared" si="5"/>
        <v/>
      </c>
      <c r="V883" s="53" t="str">
        <f>IFERROR(__xludf.DUMMYFUNCTION(" IF(Account!$F883&lt;&gt;"""", SPLIT(Account!$F883, "" ""), """")"),"")</f>
        <v/>
      </c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</row>
    <row r="884">
      <c r="A884" s="215"/>
      <c r="B884" s="215"/>
      <c r="C884" s="215"/>
      <c r="D884" s="215"/>
      <c r="E884" s="215"/>
      <c r="F884" s="373"/>
      <c r="G884" s="215"/>
      <c r="H884" s="215"/>
      <c r="I884" s="215"/>
      <c r="J884" s="215"/>
      <c r="K884" s="215"/>
      <c r="L884" s="45" t="str">
        <f t="shared" si="1"/>
        <v/>
      </c>
      <c r="M884" s="46" t="str">
        <f>IFERROR(__xludf.DUMMYFUNCTION("IF(Account!$F884&lt;&gt;"""", VALUE(REGEXREPLACE($I884, ""\,"", ""."")), """")"),"")</f>
        <v/>
      </c>
      <c r="N884" s="47" t="str">
        <f>IF(Account!$F884&lt;&gt;"", DATEVALUE(MID($A884,4,3) &amp; LEFT($A884,3) &amp; RIGHT($A884,4)) + TIMEVALUE($B884), "")</f>
        <v/>
      </c>
      <c r="O884" s="48" t="str">
        <f>IF(Account!$F884&lt;&gt;"", DATEVALUE(MID($A884,4,3) &amp; LEFT($A884,3) &amp; RIGHT($A884,4)), "")</f>
        <v/>
      </c>
      <c r="P884" s="49" t="str">
        <f>IFERROR(VLOOKUP($Q884,Selection!$F:$G,2,false))</f>
        <v/>
      </c>
      <c r="Q884" s="50" t="str">
        <f>IF(AND($X884="change",$H884="EUR"),IF(AND($Z884="Crédit",$N884=$N885),$Q885,IF(AND($Z884="Débit",$N884=$N883),$Q883)),IF(OR(AND(OR($E884&lt;&gt;"",$L884=""),$M884&lt;&gt;0),$A884=""),IFERROR(VLOOKUP($E884,Selection!$E:$F,2,false)),IFERROR(VLOOKUP(SUBSTITUTE($I884,"-","",1),$K885:$Q1119,7,false),VLOOKUP($K884,$K885:$Q1119,7,false))))</f>
        <v/>
      </c>
      <c r="R884" s="49" t="str">
        <f t="shared" si="2"/>
        <v/>
      </c>
      <c r="S884" s="51" t="str">
        <f t="shared" si="3"/>
        <v/>
      </c>
      <c r="T884" s="52" t="str">
        <f t="shared" si="4"/>
        <v/>
      </c>
      <c r="U884" s="46" t="str">
        <f t="shared" si="5"/>
        <v/>
      </c>
      <c r="V884" s="53" t="str">
        <f>IFERROR(__xludf.DUMMYFUNCTION(" IF(Account!$F884&lt;&gt;"""", SPLIT(Account!$F884, "" ""), """")"),"")</f>
        <v/>
      </c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</row>
    <row r="885">
      <c r="A885" s="215"/>
      <c r="B885" s="215"/>
      <c r="C885" s="215"/>
      <c r="D885" s="215"/>
      <c r="E885" s="215"/>
      <c r="F885" s="373"/>
      <c r="G885" s="215"/>
      <c r="H885" s="215"/>
      <c r="I885" s="215"/>
      <c r="J885" s="215"/>
      <c r="K885" s="215"/>
      <c r="L885" s="45" t="str">
        <f t="shared" si="1"/>
        <v/>
      </c>
      <c r="M885" s="46" t="str">
        <f>IFERROR(__xludf.DUMMYFUNCTION("IF(Account!$F885&lt;&gt;"""", VALUE(REGEXREPLACE($I885, ""\,"", ""."")), """")"),"")</f>
        <v/>
      </c>
      <c r="N885" s="47" t="str">
        <f>IF(Account!$F885&lt;&gt;"", DATEVALUE(MID($A885,4,3) &amp; LEFT($A885,3) &amp; RIGHT($A885,4)) + TIMEVALUE($B885), "")</f>
        <v/>
      </c>
      <c r="O885" s="48" t="str">
        <f>IF(Account!$F885&lt;&gt;"", DATEVALUE(MID($A885,4,3) &amp; LEFT($A885,3) &amp; RIGHT($A885,4)), "")</f>
        <v/>
      </c>
      <c r="P885" s="49" t="str">
        <f>IFERROR(VLOOKUP($Q885,Selection!$F:$G,2,false))</f>
        <v/>
      </c>
      <c r="Q885" s="50" t="str">
        <f>IF(AND($X885="change",$H885="EUR"),IF(AND($Z885="Crédit",$N885=$N886),$Q886,IF(AND($Z885="Débit",$N885=$N884),$Q884)),IF(OR(AND(OR($E885&lt;&gt;"",$L885=""),$M885&lt;&gt;0),$A885=""),IFERROR(VLOOKUP($E885,Selection!$E:$F,2,false)),IFERROR(VLOOKUP(SUBSTITUTE($I885,"-","",1),$K886:$Q1119,7,false),VLOOKUP($K885,$K886:$Q1119,7,false))))</f>
        <v/>
      </c>
      <c r="R885" s="49" t="str">
        <f t="shared" si="2"/>
        <v/>
      </c>
      <c r="S885" s="51" t="str">
        <f t="shared" si="3"/>
        <v/>
      </c>
      <c r="T885" s="52" t="str">
        <f t="shared" si="4"/>
        <v/>
      </c>
      <c r="U885" s="46" t="str">
        <f t="shared" si="5"/>
        <v/>
      </c>
      <c r="V885" s="53" t="str">
        <f>IFERROR(__xludf.DUMMYFUNCTION(" IF(Account!$F885&lt;&gt;"""", SPLIT(Account!$F885, "" ""), """")"),"")</f>
        <v/>
      </c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</row>
    <row r="886">
      <c r="A886" s="215"/>
      <c r="B886" s="215"/>
      <c r="C886" s="215"/>
      <c r="D886" s="215"/>
      <c r="E886" s="215"/>
      <c r="F886" s="373"/>
      <c r="G886" s="215"/>
      <c r="H886" s="215"/>
      <c r="I886" s="215"/>
      <c r="J886" s="215"/>
      <c r="K886" s="215"/>
      <c r="L886" s="45" t="str">
        <f t="shared" si="1"/>
        <v/>
      </c>
      <c r="M886" s="46" t="str">
        <f>IFERROR(__xludf.DUMMYFUNCTION("IF(Account!$F886&lt;&gt;"""", VALUE(REGEXREPLACE($I886, ""\,"", ""."")), """")"),"")</f>
        <v/>
      </c>
      <c r="N886" s="47" t="str">
        <f>IF(Account!$F886&lt;&gt;"", DATEVALUE(MID($A886,4,3) &amp; LEFT($A886,3) &amp; RIGHT($A886,4)) + TIMEVALUE($B886), "")</f>
        <v/>
      </c>
      <c r="O886" s="48" t="str">
        <f>IF(Account!$F886&lt;&gt;"", DATEVALUE(MID($A886,4,3) &amp; LEFT($A886,3) &amp; RIGHT($A886,4)), "")</f>
        <v/>
      </c>
      <c r="P886" s="49" t="str">
        <f>IFERROR(VLOOKUP($Q886,Selection!$F:$G,2,false))</f>
        <v/>
      </c>
      <c r="Q886" s="50" t="str">
        <f>IF(AND($X886="change",$H886="EUR"),IF(AND($Z886="Crédit",$N886=$N887),$Q887,IF(AND($Z886="Débit",$N886=$N885),$Q885)),IF(OR(AND(OR($E886&lt;&gt;"",$L886=""),$M886&lt;&gt;0),$A886=""),IFERROR(VLOOKUP($E886,Selection!$E:$F,2,false)),IFERROR(VLOOKUP(SUBSTITUTE($I886,"-","",1),$K887:$Q1119,7,false),VLOOKUP($K886,$K887:$Q1119,7,false))))</f>
        <v/>
      </c>
      <c r="R886" s="49" t="str">
        <f t="shared" si="2"/>
        <v/>
      </c>
      <c r="S886" s="51" t="str">
        <f t="shared" si="3"/>
        <v/>
      </c>
      <c r="T886" s="52" t="str">
        <f t="shared" si="4"/>
        <v/>
      </c>
      <c r="U886" s="46" t="str">
        <f t="shared" si="5"/>
        <v/>
      </c>
      <c r="V886" s="53" t="str">
        <f>IFERROR(__xludf.DUMMYFUNCTION(" IF(Account!$F886&lt;&gt;"""", SPLIT(Account!$F886, "" ""), """")"),"")</f>
        <v/>
      </c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</row>
    <row r="887">
      <c r="A887" s="215"/>
      <c r="B887" s="215"/>
      <c r="C887" s="215"/>
      <c r="D887" s="215"/>
      <c r="E887" s="215"/>
      <c r="F887" s="373"/>
      <c r="G887" s="215"/>
      <c r="H887" s="215"/>
      <c r="I887" s="215"/>
      <c r="J887" s="215"/>
      <c r="K887" s="215"/>
      <c r="L887" s="45" t="str">
        <f t="shared" si="1"/>
        <v/>
      </c>
      <c r="M887" s="46" t="str">
        <f>IFERROR(__xludf.DUMMYFUNCTION("IF(Account!$F887&lt;&gt;"""", VALUE(REGEXREPLACE($I887, ""\,"", ""."")), """")"),"")</f>
        <v/>
      </c>
      <c r="N887" s="47" t="str">
        <f>IF(Account!$F887&lt;&gt;"", DATEVALUE(MID($A887,4,3) &amp; LEFT($A887,3) &amp; RIGHT($A887,4)) + TIMEVALUE($B887), "")</f>
        <v/>
      </c>
      <c r="O887" s="48" t="str">
        <f>IF(Account!$F887&lt;&gt;"", DATEVALUE(MID($A887,4,3) &amp; LEFT($A887,3) &amp; RIGHT($A887,4)), "")</f>
        <v/>
      </c>
      <c r="P887" s="49" t="str">
        <f>IFERROR(VLOOKUP($Q887,Selection!$F:$G,2,false))</f>
        <v/>
      </c>
      <c r="Q887" s="50" t="str">
        <f>IF(AND($X887="change",$H887="EUR"),IF(AND($Z887="Crédit",$N887=$N888),$Q888,IF(AND($Z887="Débit",$N887=$N886),$Q886)),IF(OR(AND(OR($E887&lt;&gt;"",$L887=""),$M887&lt;&gt;0),$A887=""),IFERROR(VLOOKUP($E887,Selection!$E:$F,2,false)),IFERROR(VLOOKUP(SUBSTITUTE($I887,"-","",1),$K888:$Q1119,7,false),VLOOKUP($K887,$K888:$Q1119,7,false))))</f>
        <v/>
      </c>
      <c r="R887" s="49" t="str">
        <f t="shared" si="2"/>
        <v/>
      </c>
      <c r="S887" s="51" t="str">
        <f t="shared" si="3"/>
        <v/>
      </c>
      <c r="T887" s="52" t="str">
        <f t="shared" si="4"/>
        <v/>
      </c>
      <c r="U887" s="46" t="str">
        <f t="shared" si="5"/>
        <v/>
      </c>
      <c r="V887" s="53" t="str">
        <f>IFERROR(__xludf.DUMMYFUNCTION(" IF(Account!$F887&lt;&gt;"""", SPLIT(Account!$F887, "" ""), """")"),"")</f>
        <v/>
      </c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</row>
    <row r="888">
      <c r="A888" s="215"/>
      <c r="B888" s="215"/>
      <c r="C888" s="215"/>
      <c r="D888" s="215"/>
      <c r="E888" s="215"/>
      <c r="F888" s="373"/>
      <c r="G888" s="215"/>
      <c r="H888" s="215"/>
      <c r="I888" s="215"/>
      <c r="J888" s="215"/>
      <c r="K888" s="215"/>
      <c r="L888" s="45" t="str">
        <f t="shared" si="1"/>
        <v/>
      </c>
      <c r="M888" s="46" t="str">
        <f>IFERROR(__xludf.DUMMYFUNCTION("IF(Account!$F888&lt;&gt;"""", VALUE(REGEXREPLACE($I888, ""\,"", ""."")), """")"),"")</f>
        <v/>
      </c>
      <c r="N888" s="47" t="str">
        <f>IF(Account!$F888&lt;&gt;"", DATEVALUE(MID($A888,4,3) &amp; LEFT($A888,3) &amp; RIGHT($A888,4)) + TIMEVALUE($B888), "")</f>
        <v/>
      </c>
      <c r="O888" s="48" t="str">
        <f>IF(Account!$F888&lt;&gt;"", DATEVALUE(MID($A888,4,3) &amp; LEFT($A888,3) &amp; RIGHT($A888,4)), "")</f>
        <v/>
      </c>
      <c r="P888" s="49" t="str">
        <f>IFERROR(VLOOKUP($Q888,Selection!$F:$G,2,false))</f>
        <v/>
      </c>
      <c r="Q888" s="50" t="str">
        <f>IF(AND($X888="change",$H888="EUR"),IF(AND($Z888="Crédit",$N888=$N889),$Q889,IF(AND($Z888="Débit",$N888=$N887),$Q887)),IF(OR(AND(OR($E888&lt;&gt;"",$L888=""),$M888&lt;&gt;0),$A888=""),IFERROR(VLOOKUP($E888,Selection!$E:$F,2,false)),IFERROR(VLOOKUP(SUBSTITUTE($I888,"-","",1),$K889:$Q1119,7,false),VLOOKUP($K888,$K889:$Q1119,7,false))))</f>
        <v/>
      </c>
      <c r="R888" s="49" t="str">
        <f t="shared" si="2"/>
        <v/>
      </c>
      <c r="S888" s="51" t="str">
        <f t="shared" si="3"/>
        <v/>
      </c>
      <c r="T888" s="52" t="str">
        <f t="shared" si="4"/>
        <v/>
      </c>
      <c r="U888" s="46" t="str">
        <f t="shared" si="5"/>
        <v/>
      </c>
      <c r="V888" s="53" t="str">
        <f>IFERROR(__xludf.DUMMYFUNCTION(" IF(Account!$F888&lt;&gt;"""", SPLIT(Account!$F888, "" ""), """")"),"")</f>
        <v/>
      </c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</row>
    <row r="889">
      <c r="A889" s="215"/>
      <c r="B889" s="215"/>
      <c r="C889" s="215"/>
      <c r="D889" s="215"/>
      <c r="E889" s="215"/>
      <c r="F889" s="373"/>
      <c r="G889" s="215"/>
      <c r="H889" s="215"/>
      <c r="I889" s="215"/>
      <c r="J889" s="215"/>
      <c r="K889" s="215"/>
      <c r="L889" s="45" t="str">
        <f t="shared" si="1"/>
        <v/>
      </c>
      <c r="M889" s="46" t="str">
        <f>IFERROR(__xludf.DUMMYFUNCTION("IF(Account!$F889&lt;&gt;"""", VALUE(REGEXREPLACE($I889, ""\,"", ""."")), """")"),"")</f>
        <v/>
      </c>
      <c r="N889" s="47" t="str">
        <f>IF(Account!$F889&lt;&gt;"", DATEVALUE(MID($A889,4,3) &amp; LEFT($A889,3) &amp; RIGHT($A889,4)) + TIMEVALUE($B889), "")</f>
        <v/>
      </c>
      <c r="O889" s="48" t="str">
        <f>IF(Account!$F889&lt;&gt;"", DATEVALUE(MID($A889,4,3) &amp; LEFT($A889,3) &amp; RIGHT($A889,4)), "")</f>
        <v/>
      </c>
      <c r="P889" s="49" t="str">
        <f>IFERROR(VLOOKUP($Q889,Selection!$F:$G,2,false))</f>
        <v/>
      </c>
      <c r="Q889" s="50" t="str">
        <f>IF(AND($X889="change",$H889="EUR"),IF(AND($Z889="Crédit",$N889=$N890),$Q890,IF(AND($Z889="Débit",$N889=$N888),$Q888)),IF(OR(AND(OR($E889&lt;&gt;"",$L889=""),$M889&lt;&gt;0),$A889=""),IFERROR(VLOOKUP($E889,Selection!$E:$F,2,false)),IFERROR(VLOOKUP(SUBSTITUTE($I889,"-","",1),$K890:$Q1119,7,false),VLOOKUP($K889,$K890:$Q1119,7,false))))</f>
        <v/>
      </c>
      <c r="R889" s="49" t="str">
        <f t="shared" si="2"/>
        <v/>
      </c>
      <c r="S889" s="51" t="str">
        <f t="shared" si="3"/>
        <v/>
      </c>
      <c r="T889" s="52" t="str">
        <f t="shared" si="4"/>
        <v/>
      </c>
      <c r="U889" s="46" t="str">
        <f t="shared" si="5"/>
        <v/>
      </c>
      <c r="V889" s="53" t="str">
        <f>IFERROR(__xludf.DUMMYFUNCTION(" IF(Account!$F889&lt;&gt;"""", SPLIT(Account!$F889, "" ""), """")"),"")</f>
        <v/>
      </c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</row>
    <row r="890">
      <c r="A890" s="215"/>
      <c r="B890" s="215"/>
      <c r="C890" s="215"/>
      <c r="D890" s="215"/>
      <c r="E890" s="215"/>
      <c r="F890" s="373"/>
      <c r="G890" s="215"/>
      <c r="H890" s="215"/>
      <c r="I890" s="215"/>
      <c r="J890" s="215"/>
      <c r="K890" s="215"/>
      <c r="L890" s="45" t="str">
        <f t="shared" si="1"/>
        <v/>
      </c>
      <c r="M890" s="46" t="str">
        <f>IFERROR(__xludf.DUMMYFUNCTION("IF(Account!$F890&lt;&gt;"""", VALUE(REGEXREPLACE($I890, ""\,"", ""."")), """")"),"")</f>
        <v/>
      </c>
      <c r="N890" s="47" t="str">
        <f>IF(Account!$F890&lt;&gt;"", DATEVALUE(MID($A890,4,3) &amp; LEFT($A890,3) &amp; RIGHT($A890,4)) + TIMEVALUE($B890), "")</f>
        <v/>
      </c>
      <c r="O890" s="48" t="str">
        <f>IF(Account!$F890&lt;&gt;"", DATEVALUE(MID($A890,4,3) &amp; LEFT($A890,3) &amp; RIGHT($A890,4)), "")</f>
        <v/>
      </c>
      <c r="P890" s="49" t="str">
        <f>IFERROR(VLOOKUP($Q890,Selection!$F:$G,2,false))</f>
        <v/>
      </c>
      <c r="Q890" s="50" t="str">
        <f>IF(AND($X890="change",$H890="EUR"),IF(AND($Z890="Crédit",$N890=$N891),$Q891,IF(AND($Z890="Débit",$N890=$N889),$Q889)),IF(OR(AND(OR($E890&lt;&gt;"",$L890=""),$M890&lt;&gt;0),$A890=""),IFERROR(VLOOKUP($E890,Selection!$E:$F,2,false)),IFERROR(VLOOKUP(SUBSTITUTE($I890,"-","",1),$K891:$Q1119,7,false),VLOOKUP($K890,$K891:$Q1119,7,false))))</f>
        <v/>
      </c>
      <c r="R890" s="49" t="str">
        <f t="shared" si="2"/>
        <v/>
      </c>
      <c r="S890" s="51" t="str">
        <f t="shared" si="3"/>
        <v/>
      </c>
      <c r="T890" s="52" t="str">
        <f t="shared" si="4"/>
        <v/>
      </c>
      <c r="U890" s="46" t="str">
        <f t="shared" si="5"/>
        <v/>
      </c>
      <c r="V890" s="53" t="str">
        <f>IFERROR(__xludf.DUMMYFUNCTION(" IF(Account!$F890&lt;&gt;"""", SPLIT(Account!$F890, "" ""), """")"),"")</f>
        <v/>
      </c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</row>
    <row r="891">
      <c r="A891" s="215"/>
      <c r="B891" s="215"/>
      <c r="C891" s="215"/>
      <c r="D891" s="215"/>
      <c r="E891" s="215"/>
      <c r="F891" s="373"/>
      <c r="G891" s="215"/>
      <c r="H891" s="215"/>
      <c r="I891" s="215"/>
      <c r="J891" s="215"/>
      <c r="K891" s="215"/>
      <c r="L891" s="45" t="str">
        <f t="shared" si="1"/>
        <v/>
      </c>
      <c r="M891" s="46" t="str">
        <f>IFERROR(__xludf.DUMMYFUNCTION("IF(Account!$F891&lt;&gt;"""", VALUE(REGEXREPLACE($I891, ""\,"", ""."")), """")"),"")</f>
        <v/>
      </c>
      <c r="N891" s="47" t="str">
        <f>IF(Account!$F891&lt;&gt;"", DATEVALUE(MID($A891,4,3) &amp; LEFT($A891,3) &amp; RIGHT($A891,4)) + TIMEVALUE($B891), "")</f>
        <v/>
      </c>
      <c r="O891" s="48" t="str">
        <f>IF(Account!$F891&lt;&gt;"", DATEVALUE(MID($A891,4,3) &amp; LEFT($A891,3) &amp; RIGHT($A891,4)), "")</f>
        <v/>
      </c>
      <c r="P891" s="49" t="str">
        <f>IFERROR(VLOOKUP($Q891,Selection!$F:$G,2,false))</f>
        <v/>
      </c>
      <c r="Q891" s="50" t="str">
        <f>IF(AND($X891="change",$H891="EUR"),IF(AND($Z891="Crédit",$N891=$N892),$Q892,IF(AND($Z891="Débit",$N891=$N890),$Q890)),IF(OR(AND(OR($E891&lt;&gt;"",$L891=""),$M891&lt;&gt;0),$A891=""),IFERROR(VLOOKUP($E891,Selection!$E:$F,2,false)),IFERROR(VLOOKUP(SUBSTITUTE($I891,"-","",1),$K892:$Q1119,7,false),VLOOKUP($K891,$K892:$Q1119,7,false))))</f>
        <v/>
      </c>
      <c r="R891" s="49" t="str">
        <f t="shared" si="2"/>
        <v/>
      </c>
      <c r="S891" s="51" t="str">
        <f t="shared" si="3"/>
        <v/>
      </c>
      <c r="T891" s="52" t="str">
        <f t="shared" si="4"/>
        <v/>
      </c>
      <c r="U891" s="46" t="str">
        <f t="shared" si="5"/>
        <v/>
      </c>
      <c r="V891" s="53" t="str">
        <f>IFERROR(__xludf.DUMMYFUNCTION(" IF(Account!$F891&lt;&gt;"""", SPLIT(Account!$F891, "" ""), """")"),"")</f>
        <v/>
      </c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</row>
    <row r="892">
      <c r="A892" s="215"/>
      <c r="B892" s="215"/>
      <c r="C892" s="215"/>
      <c r="D892" s="215"/>
      <c r="E892" s="215"/>
      <c r="F892" s="373"/>
      <c r="G892" s="215"/>
      <c r="H892" s="215"/>
      <c r="I892" s="215"/>
      <c r="J892" s="215"/>
      <c r="K892" s="215"/>
      <c r="L892" s="45" t="str">
        <f t="shared" si="1"/>
        <v/>
      </c>
      <c r="M892" s="46" t="str">
        <f>IFERROR(__xludf.DUMMYFUNCTION("IF(Account!$F892&lt;&gt;"""", VALUE(REGEXREPLACE($I892, ""\,"", ""."")), """")"),"")</f>
        <v/>
      </c>
      <c r="N892" s="47" t="str">
        <f>IF(Account!$F892&lt;&gt;"", DATEVALUE(MID($A892,4,3) &amp; LEFT($A892,3) &amp; RIGHT($A892,4)) + TIMEVALUE($B892), "")</f>
        <v/>
      </c>
      <c r="O892" s="48" t="str">
        <f>IF(Account!$F892&lt;&gt;"", DATEVALUE(MID($A892,4,3) &amp; LEFT($A892,3) &amp; RIGHT($A892,4)), "")</f>
        <v/>
      </c>
      <c r="P892" s="49" t="str">
        <f>IFERROR(VLOOKUP($Q892,Selection!$F:$G,2,false))</f>
        <v/>
      </c>
      <c r="Q892" s="50" t="str">
        <f>IF(AND($X892="change",$H892="EUR"),IF(AND($Z892="Crédit",$N892=$N893),$Q893,IF(AND($Z892="Débit",$N892=$N891),$Q891)),IF(OR(AND(OR($E892&lt;&gt;"",$L892=""),$M892&lt;&gt;0),$A892=""),IFERROR(VLOOKUP($E892,Selection!$E:$F,2,false)),IFERROR(VLOOKUP(SUBSTITUTE($I892,"-","",1),$K893:$Q1119,7,false),VLOOKUP($K892,$K893:$Q1119,7,false))))</f>
        <v/>
      </c>
      <c r="R892" s="49" t="str">
        <f t="shared" si="2"/>
        <v/>
      </c>
      <c r="S892" s="51" t="str">
        <f t="shared" si="3"/>
        <v/>
      </c>
      <c r="T892" s="52" t="str">
        <f t="shared" si="4"/>
        <v/>
      </c>
      <c r="U892" s="46" t="str">
        <f t="shared" si="5"/>
        <v/>
      </c>
      <c r="V892" s="53" t="str">
        <f>IFERROR(__xludf.DUMMYFUNCTION(" IF(Account!$F892&lt;&gt;"""", SPLIT(Account!$F892, "" ""), """")"),"")</f>
        <v/>
      </c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</row>
    <row r="893">
      <c r="A893" s="215"/>
      <c r="B893" s="215"/>
      <c r="C893" s="215"/>
      <c r="D893" s="215"/>
      <c r="E893" s="215"/>
      <c r="F893" s="373"/>
      <c r="G893" s="215"/>
      <c r="H893" s="215"/>
      <c r="I893" s="215"/>
      <c r="J893" s="215"/>
      <c r="K893" s="215"/>
      <c r="L893" s="45" t="str">
        <f t="shared" si="1"/>
        <v/>
      </c>
      <c r="M893" s="46" t="str">
        <f>IFERROR(__xludf.DUMMYFUNCTION("IF(Account!$F893&lt;&gt;"""", VALUE(REGEXREPLACE($I893, ""\,"", ""."")), """")"),"")</f>
        <v/>
      </c>
      <c r="N893" s="47" t="str">
        <f>IF(Account!$F893&lt;&gt;"", DATEVALUE(MID($A893,4,3) &amp; LEFT($A893,3) &amp; RIGHT($A893,4)) + TIMEVALUE($B893), "")</f>
        <v/>
      </c>
      <c r="O893" s="48" t="str">
        <f>IF(Account!$F893&lt;&gt;"", DATEVALUE(MID($A893,4,3) &amp; LEFT($A893,3) &amp; RIGHT($A893,4)), "")</f>
        <v/>
      </c>
      <c r="P893" s="49" t="str">
        <f>IFERROR(VLOOKUP($Q893,Selection!$F:$G,2,false))</f>
        <v/>
      </c>
      <c r="Q893" s="50" t="str">
        <f>IF(AND($X893="change",$H893="EUR"),IF(AND($Z893="Crédit",$N893=$N894),$Q894,IF(AND($Z893="Débit",$N893=$N892),$Q892)),IF(OR(AND(OR($E893&lt;&gt;"",$L893=""),$M893&lt;&gt;0),$A893=""),IFERROR(VLOOKUP($E893,Selection!$E:$F,2,false)),IFERROR(VLOOKUP(SUBSTITUTE($I893,"-","",1),$K894:$Q1119,7,false),VLOOKUP($K893,$K894:$Q1119,7,false))))</f>
        <v/>
      </c>
      <c r="R893" s="49" t="str">
        <f t="shared" si="2"/>
        <v/>
      </c>
      <c r="S893" s="51" t="str">
        <f t="shared" si="3"/>
        <v/>
      </c>
      <c r="T893" s="52" t="str">
        <f t="shared" si="4"/>
        <v/>
      </c>
      <c r="U893" s="46" t="str">
        <f t="shared" si="5"/>
        <v/>
      </c>
      <c r="V893" s="53" t="str">
        <f>IFERROR(__xludf.DUMMYFUNCTION(" IF(Account!$F893&lt;&gt;"""", SPLIT(Account!$F893, "" ""), """")"),"")</f>
        <v/>
      </c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</row>
    <row r="894">
      <c r="A894" s="215"/>
      <c r="B894" s="215"/>
      <c r="C894" s="215"/>
      <c r="D894" s="215"/>
      <c r="E894" s="215"/>
      <c r="F894" s="373"/>
      <c r="G894" s="215"/>
      <c r="H894" s="215"/>
      <c r="I894" s="215"/>
      <c r="J894" s="215"/>
      <c r="K894" s="215"/>
      <c r="L894" s="45" t="str">
        <f t="shared" si="1"/>
        <v/>
      </c>
      <c r="M894" s="46" t="str">
        <f>IFERROR(__xludf.DUMMYFUNCTION("IF(Account!$F894&lt;&gt;"""", VALUE(REGEXREPLACE($I894, ""\,"", ""."")), """")"),"")</f>
        <v/>
      </c>
      <c r="N894" s="47" t="str">
        <f>IF(Account!$F894&lt;&gt;"", DATEVALUE(MID($A894,4,3) &amp; LEFT($A894,3) &amp; RIGHT($A894,4)) + TIMEVALUE($B894), "")</f>
        <v/>
      </c>
      <c r="O894" s="48" t="str">
        <f>IF(Account!$F894&lt;&gt;"", DATEVALUE(MID($A894,4,3) &amp; LEFT($A894,3) &amp; RIGHT($A894,4)), "")</f>
        <v/>
      </c>
      <c r="P894" s="49" t="str">
        <f>IFERROR(VLOOKUP($Q894,Selection!$F:$G,2,false))</f>
        <v/>
      </c>
      <c r="Q894" s="50" t="str">
        <f>IF(AND($X894="change",$H894="EUR"),IF(AND($Z894="Crédit",$N894=$N895),$Q895,IF(AND($Z894="Débit",$N894=$N893),$Q893)),IF(OR(AND(OR($E894&lt;&gt;"",$L894=""),$M894&lt;&gt;0),$A894=""),IFERROR(VLOOKUP($E894,Selection!$E:$F,2,false)),IFERROR(VLOOKUP(SUBSTITUTE($I894,"-","",1),$K895:$Q1119,7,false),VLOOKUP($K894,$K895:$Q1119,7,false))))</f>
        <v/>
      </c>
      <c r="R894" s="49" t="str">
        <f t="shared" si="2"/>
        <v/>
      </c>
      <c r="S894" s="51" t="str">
        <f t="shared" si="3"/>
        <v/>
      </c>
      <c r="T894" s="52" t="str">
        <f t="shared" si="4"/>
        <v/>
      </c>
      <c r="U894" s="46" t="str">
        <f t="shared" si="5"/>
        <v/>
      </c>
      <c r="V894" s="53" t="str">
        <f>IFERROR(__xludf.DUMMYFUNCTION(" IF(Account!$F894&lt;&gt;"""", SPLIT(Account!$F894, "" ""), """")"),"")</f>
        <v/>
      </c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</row>
    <row r="895">
      <c r="A895" s="215"/>
      <c r="B895" s="215"/>
      <c r="C895" s="215"/>
      <c r="D895" s="215"/>
      <c r="E895" s="215"/>
      <c r="F895" s="373"/>
      <c r="G895" s="215"/>
      <c r="H895" s="215"/>
      <c r="I895" s="215"/>
      <c r="J895" s="215"/>
      <c r="K895" s="215"/>
      <c r="L895" s="45" t="str">
        <f t="shared" si="1"/>
        <v/>
      </c>
      <c r="M895" s="46" t="str">
        <f>IFERROR(__xludf.DUMMYFUNCTION("IF(Account!$F895&lt;&gt;"""", VALUE(REGEXREPLACE($I895, ""\,"", ""."")), """")"),"")</f>
        <v/>
      </c>
      <c r="N895" s="47" t="str">
        <f>IF(Account!$F895&lt;&gt;"", DATEVALUE(MID($A895,4,3) &amp; LEFT($A895,3) &amp; RIGHT($A895,4)) + TIMEVALUE($B895), "")</f>
        <v/>
      </c>
      <c r="O895" s="48" t="str">
        <f>IF(Account!$F895&lt;&gt;"", DATEVALUE(MID($A895,4,3) &amp; LEFT($A895,3) &amp; RIGHT($A895,4)), "")</f>
        <v/>
      </c>
      <c r="P895" s="49" t="str">
        <f>IFERROR(VLOOKUP($Q895,Selection!$F:$G,2,false))</f>
        <v/>
      </c>
      <c r="Q895" s="50" t="str">
        <f>IF(AND($X895="change",$H895="EUR"),IF(AND($Z895="Crédit",$N895=$N896),$Q896,IF(AND($Z895="Débit",$N895=$N894),$Q894)),IF(OR(AND(OR($E895&lt;&gt;"",$L895=""),$M895&lt;&gt;0),$A895=""),IFERROR(VLOOKUP($E895,Selection!$E:$F,2,false)),IFERROR(VLOOKUP(SUBSTITUTE($I895,"-","",1),$K896:$Q1119,7,false),VLOOKUP($K895,$K896:$Q1119,7,false))))</f>
        <v/>
      </c>
      <c r="R895" s="49" t="str">
        <f t="shared" si="2"/>
        <v/>
      </c>
      <c r="S895" s="51" t="str">
        <f t="shared" si="3"/>
        <v/>
      </c>
      <c r="T895" s="52" t="str">
        <f t="shared" si="4"/>
        <v/>
      </c>
      <c r="U895" s="46" t="str">
        <f t="shared" si="5"/>
        <v/>
      </c>
      <c r="V895" s="53" t="str">
        <f>IFERROR(__xludf.DUMMYFUNCTION(" IF(Account!$F895&lt;&gt;"""", SPLIT(Account!$F895, "" ""), """")"),"")</f>
        <v/>
      </c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</row>
    <row r="896">
      <c r="A896" s="215"/>
      <c r="B896" s="215"/>
      <c r="C896" s="215"/>
      <c r="D896" s="215"/>
      <c r="E896" s="215"/>
      <c r="F896" s="373"/>
      <c r="G896" s="215"/>
      <c r="H896" s="215"/>
      <c r="I896" s="215"/>
      <c r="J896" s="215"/>
      <c r="K896" s="215"/>
      <c r="L896" s="45" t="str">
        <f t="shared" si="1"/>
        <v/>
      </c>
      <c r="M896" s="46" t="str">
        <f>IFERROR(__xludf.DUMMYFUNCTION("IF(Account!$F896&lt;&gt;"""", VALUE(REGEXREPLACE($I896, ""\,"", ""."")), """")"),"")</f>
        <v/>
      </c>
      <c r="N896" s="47" t="str">
        <f>IF(Account!$F896&lt;&gt;"", DATEVALUE(MID($A896,4,3) &amp; LEFT($A896,3) &amp; RIGHT($A896,4)) + TIMEVALUE($B896), "")</f>
        <v/>
      </c>
      <c r="O896" s="48" t="str">
        <f>IF(Account!$F896&lt;&gt;"", DATEVALUE(MID($A896,4,3) &amp; LEFT($A896,3) &amp; RIGHT($A896,4)), "")</f>
        <v/>
      </c>
      <c r="P896" s="49" t="str">
        <f>IFERROR(VLOOKUP($Q896,Selection!$F:$G,2,false))</f>
        <v/>
      </c>
      <c r="Q896" s="50" t="str">
        <f>IF(AND($X896="change",$H896="EUR"),IF(AND($Z896="Crédit",$N896=$N897),$Q897,IF(AND($Z896="Débit",$N896=$N895),$Q895)),IF(OR(AND(OR($E896&lt;&gt;"",$L896=""),$M896&lt;&gt;0),$A896=""),IFERROR(VLOOKUP($E896,Selection!$E:$F,2,false)),IFERROR(VLOOKUP(SUBSTITUTE($I896,"-","",1),$K897:$Q1119,7,false),VLOOKUP($K896,$K897:$Q1119,7,false))))</f>
        <v/>
      </c>
      <c r="R896" s="49" t="str">
        <f t="shared" si="2"/>
        <v/>
      </c>
      <c r="S896" s="51" t="str">
        <f t="shared" si="3"/>
        <v/>
      </c>
      <c r="T896" s="52" t="str">
        <f t="shared" si="4"/>
        <v/>
      </c>
      <c r="U896" s="46" t="str">
        <f t="shared" si="5"/>
        <v/>
      </c>
      <c r="V896" s="53" t="str">
        <f>IFERROR(__xludf.DUMMYFUNCTION(" IF(Account!$F896&lt;&gt;"""", SPLIT(Account!$F896, "" ""), """")"),"")</f>
        <v/>
      </c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</row>
    <row r="897">
      <c r="A897" s="215"/>
      <c r="B897" s="215"/>
      <c r="C897" s="215"/>
      <c r="D897" s="215"/>
      <c r="E897" s="215"/>
      <c r="F897" s="373"/>
      <c r="G897" s="215"/>
      <c r="H897" s="215"/>
      <c r="I897" s="215"/>
      <c r="J897" s="215"/>
      <c r="K897" s="215"/>
      <c r="L897" s="45" t="str">
        <f t="shared" si="1"/>
        <v/>
      </c>
      <c r="M897" s="46" t="str">
        <f>IFERROR(__xludf.DUMMYFUNCTION("IF(Account!$F897&lt;&gt;"""", VALUE(REGEXREPLACE($I897, ""\,"", ""."")), """")"),"")</f>
        <v/>
      </c>
      <c r="N897" s="47" t="str">
        <f>IF(Account!$F897&lt;&gt;"", DATEVALUE(MID($A897,4,3) &amp; LEFT($A897,3) &amp; RIGHT($A897,4)) + TIMEVALUE($B897), "")</f>
        <v/>
      </c>
      <c r="O897" s="48" t="str">
        <f>IF(Account!$F897&lt;&gt;"", DATEVALUE(MID($A897,4,3) &amp; LEFT($A897,3) &amp; RIGHT($A897,4)), "")</f>
        <v/>
      </c>
      <c r="P897" s="49" t="str">
        <f>IFERROR(VLOOKUP($Q897,Selection!$F:$G,2,false))</f>
        <v/>
      </c>
      <c r="Q897" s="50" t="str">
        <f>IF(AND($X897="change",$H897="EUR"),IF(AND($Z897="Crédit",$N897=$N898),$Q898,IF(AND($Z897="Débit",$N897=$N896),$Q896)),IF(OR(AND(OR($E897&lt;&gt;"",$L897=""),$M897&lt;&gt;0),$A897=""),IFERROR(VLOOKUP($E897,Selection!$E:$F,2,false)),IFERROR(VLOOKUP(SUBSTITUTE($I897,"-","",1),$K898:$Q1119,7,false),VLOOKUP($K897,$K898:$Q1119,7,false))))</f>
        <v/>
      </c>
      <c r="R897" s="49" t="str">
        <f t="shared" si="2"/>
        <v/>
      </c>
      <c r="S897" s="51" t="str">
        <f t="shared" si="3"/>
        <v/>
      </c>
      <c r="T897" s="52" t="str">
        <f t="shared" si="4"/>
        <v/>
      </c>
      <c r="U897" s="46" t="str">
        <f t="shared" si="5"/>
        <v/>
      </c>
      <c r="V897" s="53" t="str">
        <f>IFERROR(__xludf.DUMMYFUNCTION(" IF(Account!$F897&lt;&gt;"""", SPLIT(Account!$F897, "" ""), """")"),"")</f>
        <v/>
      </c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</row>
    <row r="898">
      <c r="A898" s="215"/>
      <c r="B898" s="215"/>
      <c r="C898" s="215"/>
      <c r="D898" s="215"/>
      <c r="E898" s="215"/>
      <c r="F898" s="373"/>
      <c r="G898" s="215"/>
      <c r="H898" s="215"/>
      <c r="I898" s="215"/>
      <c r="J898" s="215"/>
      <c r="K898" s="215"/>
      <c r="L898" s="45" t="str">
        <f t="shared" si="1"/>
        <v/>
      </c>
      <c r="M898" s="46" t="str">
        <f>IFERROR(__xludf.DUMMYFUNCTION("IF(Account!$F898&lt;&gt;"""", VALUE(REGEXREPLACE($I898, ""\,"", ""."")), """")"),"")</f>
        <v/>
      </c>
      <c r="N898" s="47" t="str">
        <f>IF(Account!$F898&lt;&gt;"", DATEVALUE(MID($A898,4,3) &amp; LEFT($A898,3) &amp; RIGHT($A898,4)) + TIMEVALUE($B898), "")</f>
        <v/>
      </c>
      <c r="O898" s="48" t="str">
        <f>IF(Account!$F898&lt;&gt;"", DATEVALUE(MID($A898,4,3) &amp; LEFT($A898,3) &amp; RIGHT($A898,4)), "")</f>
        <v/>
      </c>
      <c r="P898" s="49" t="str">
        <f>IFERROR(VLOOKUP($Q898,Selection!$F:$G,2,false))</f>
        <v/>
      </c>
      <c r="Q898" s="50" t="str">
        <f>IF(AND($X898="change",$H898="EUR"),IF(AND($Z898="Crédit",$N898=$N899),$Q899,IF(AND($Z898="Débit",$N898=$N897),$Q897)),IF(OR(AND(OR($E898&lt;&gt;"",$L898=""),$M898&lt;&gt;0),$A898=""),IFERROR(VLOOKUP($E898,Selection!$E:$F,2,false)),IFERROR(VLOOKUP(SUBSTITUTE($I898,"-","",1),$K899:$Q1119,7,false),VLOOKUP($K898,$K899:$Q1119,7,false))))</f>
        <v/>
      </c>
      <c r="R898" s="49" t="str">
        <f t="shared" si="2"/>
        <v/>
      </c>
      <c r="S898" s="51" t="str">
        <f t="shared" si="3"/>
        <v/>
      </c>
      <c r="T898" s="52" t="str">
        <f t="shared" si="4"/>
        <v/>
      </c>
      <c r="U898" s="46" t="str">
        <f t="shared" si="5"/>
        <v/>
      </c>
      <c r="V898" s="53" t="str">
        <f>IFERROR(__xludf.DUMMYFUNCTION(" IF(Account!$F898&lt;&gt;"""", SPLIT(Account!$F898, "" ""), """")"),"")</f>
        <v/>
      </c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</row>
    <row r="899">
      <c r="A899" s="215"/>
      <c r="B899" s="215"/>
      <c r="C899" s="215"/>
      <c r="D899" s="215"/>
      <c r="E899" s="215"/>
      <c r="F899" s="373"/>
      <c r="G899" s="215"/>
      <c r="H899" s="215"/>
      <c r="I899" s="215"/>
      <c r="J899" s="215"/>
      <c r="K899" s="215"/>
      <c r="L899" s="45" t="str">
        <f t="shared" si="1"/>
        <v/>
      </c>
      <c r="M899" s="46" t="str">
        <f>IFERROR(__xludf.DUMMYFUNCTION("IF(Account!$F899&lt;&gt;"""", VALUE(REGEXREPLACE($I899, ""\,"", ""."")), """")"),"")</f>
        <v/>
      </c>
      <c r="N899" s="47" t="str">
        <f>IF(Account!$F899&lt;&gt;"", DATEVALUE(MID($A899,4,3) &amp; LEFT($A899,3) &amp; RIGHT($A899,4)) + TIMEVALUE($B899), "")</f>
        <v/>
      </c>
      <c r="O899" s="48" t="str">
        <f>IF(Account!$F899&lt;&gt;"", DATEVALUE(MID($A899,4,3) &amp; LEFT($A899,3) &amp; RIGHT($A899,4)), "")</f>
        <v/>
      </c>
      <c r="P899" s="49" t="str">
        <f>IFERROR(VLOOKUP($Q899,Selection!$F:$G,2,false))</f>
        <v/>
      </c>
      <c r="Q899" s="50" t="str">
        <f>IF(AND($X899="change",$H899="EUR"),IF(AND($Z899="Crédit",$N899=$N900),$Q900,IF(AND($Z899="Débit",$N899=$N898),$Q898)),IF(OR(AND(OR($E899&lt;&gt;"",$L899=""),$M899&lt;&gt;0),$A899=""),IFERROR(VLOOKUP($E899,Selection!$E:$F,2,false)),IFERROR(VLOOKUP(SUBSTITUTE($I899,"-","",1),$K900:$Q1119,7,false),VLOOKUP($K899,$K900:$Q1119,7,false))))</f>
        <v/>
      </c>
      <c r="R899" s="49" t="str">
        <f t="shared" si="2"/>
        <v/>
      </c>
      <c r="S899" s="51" t="str">
        <f t="shared" si="3"/>
        <v/>
      </c>
      <c r="T899" s="52" t="str">
        <f t="shared" si="4"/>
        <v/>
      </c>
      <c r="U899" s="46" t="str">
        <f t="shared" si="5"/>
        <v/>
      </c>
      <c r="V899" s="53" t="str">
        <f>IFERROR(__xludf.DUMMYFUNCTION(" IF(Account!$F899&lt;&gt;"""", SPLIT(Account!$F899, "" ""), """")"),"")</f>
        <v/>
      </c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</row>
    <row r="900">
      <c r="A900" s="215"/>
      <c r="B900" s="215"/>
      <c r="C900" s="215"/>
      <c r="D900" s="215"/>
      <c r="E900" s="215"/>
      <c r="F900" s="373"/>
      <c r="G900" s="215"/>
      <c r="H900" s="215"/>
      <c r="I900" s="215"/>
      <c r="J900" s="215"/>
      <c r="K900" s="215"/>
      <c r="L900" s="45" t="str">
        <f t="shared" si="1"/>
        <v/>
      </c>
      <c r="M900" s="46" t="str">
        <f>IFERROR(__xludf.DUMMYFUNCTION("IF(Account!$F900&lt;&gt;"""", VALUE(REGEXREPLACE($I900, ""\,"", ""."")), """")"),"")</f>
        <v/>
      </c>
      <c r="N900" s="47" t="str">
        <f>IF(Account!$F900&lt;&gt;"", DATEVALUE(MID($A900,4,3) &amp; LEFT($A900,3) &amp; RIGHT($A900,4)) + TIMEVALUE($B900), "")</f>
        <v/>
      </c>
      <c r="O900" s="48" t="str">
        <f>IF(Account!$F900&lt;&gt;"", DATEVALUE(MID($A900,4,3) &amp; LEFT($A900,3) &amp; RIGHT($A900,4)), "")</f>
        <v/>
      </c>
      <c r="P900" s="49" t="str">
        <f>IFERROR(VLOOKUP($Q900,Selection!$F:$G,2,false))</f>
        <v/>
      </c>
      <c r="Q900" s="50" t="str">
        <f>IF(AND($X900="change",$H900="EUR"),IF(AND($Z900="Crédit",$N900=$N901),$Q901,IF(AND($Z900="Débit",$N900=$N899),$Q899)),IF(OR(AND(OR($E900&lt;&gt;"",$L900=""),$M900&lt;&gt;0),$A900=""),IFERROR(VLOOKUP($E900,Selection!$E:$F,2,false)),IFERROR(VLOOKUP(SUBSTITUTE($I900,"-","",1),$K901:$Q1119,7,false),VLOOKUP($K900,$K901:$Q1119,7,false))))</f>
        <v/>
      </c>
      <c r="R900" s="49" t="str">
        <f t="shared" si="2"/>
        <v/>
      </c>
      <c r="S900" s="51" t="str">
        <f t="shared" si="3"/>
        <v/>
      </c>
      <c r="T900" s="52" t="str">
        <f t="shared" si="4"/>
        <v/>
      </c>
      <c r="U900" s="46" t="str">
        <f t="shared" si="5"/>
        <v/>
      </c>
      <c r="V900" s="53" t="str">
        <f>IFERROR(__xludf.DUMMYFUNCTION(" IF(Account!$F900&lt;&gt;"""", SPLIT(Account!$F900, "" ""), """")"),"")</f>
        <v/>
      </c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</row>
    <row r="901">
      <c r="A901" s="215"/>
      <c r="B901" s="215"/>
      <c r="C901" s="215"/>
      <c r="D901" s="215"/>
      <c r="E901" s="215"/>
      <c r="F901" s="373"/>
      <c r="G901" s="215"/>
      <c r="H901" s="215"/>
      <c r="I901" s="215"/>
      <c r="J901" s="215"/>
      <c r="K901" s="215"/>
      <c r="L901" s="45" t="str">
        <f t="shared" si="1"/>
        <v/>
      </c>
      <c r="M901" s="46" t="str">
        <f>IFERROR(__xludf.DUMMYFUNCTION("IF(Account!$F901&lt;&gt;"""", VALUE(REGEXREPLACE($I901, ""\,"", ""."")), """")"),"")</f>
        <v/>
      </c>
      <c r="N901" s="47" t="str">
        <f>IF(Account!$F901&lt;&gt;"", DATEVALUE(MID($A901,4,3) &amp; LEFT($A901,3) &amp; RIGHT($A901,4)) + TIMEVALUE($B901), "")</f>
        <v/>
      </c>
      <c r="O901" s="48" t="str">
        <f>IF(Account!$F901&lt;&gt;"", DATEVALUE(MID($A901,4,3) &amp; LEFT($A901,3) &amp; RIGHT($A901,4)), "")</f>
        <v/>
      </c>
      <c r="P901" s="49" t="str">
        <f>IFERROR(VLOOKUP($Q901,Selection!$F:$G,2,false))</f>
        <v/>
      </c>
      <c r="Q901" s="50" t="str">
        <f>IF(AND($X901="change",$H901="EUR"),IF(AND($Z901="Crédit",$N901=$N902),$Q902,IF(AND($Z901="Débit",$N901=$N900),$Q900)),IF(OR(AND(OR($E901&lt;&gt;"",$L901=""),$M901&lt;&gt;0),$A901=""),IFERROR(VLOOKUP($E901,Selection!$E:$F,2,false)),IFERROR(VLOOKUP(SUBSTITUTE($I901,"-","",1),$K902:$Q1119,7,false),VLOOKUP($K901,$K902:$Q1119,7,false))))</f>
        <v/>
      </c>
      <c r="R901" s="49" t="str">
        <f t="shared" si="2"/>
        <v/>
      </c>
      <c r="S901" s="51" t="str">
        <f t="shared" si="3"/>
        <v/>
      </c>
      <c r="T901" s="52" t="str">
        <f t="shared" si="4"/>
        <v/>
      </c>
      <c r="U901" s="46" t="str">
        <f t="shared" si="5"/>
        <v/>
      </c>
      <c r="V901" s="53" t="str">
        <f>IFERROR(__xludf.DUMMYFUNCTION(" IF(Account!$F901&lt;&gt;"""", SPLIT(Account!$F901, "" ""), """")"),"")</f>
        <v/>
      </c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</row>
    <row r="902">
      <c r="A902" s="215"/>
      <c r="B902" s="215"/>
      <c r="C902" s="215"/>
      <c r="D902" s="215"/>
      <c r="E902" s="215"/>
      <c r="F902" s="373"/>
      <c r="G902" s="215"/>
      <c r="H902" s="215"/>
      <c r="I902" s="215"/>
      <c r="J902" s="215"/>
      <c r="K902" s="215"/>
      <c r="L902" s="45" t="str">
        <f t="shared" si="1"/>
        <v/>
      </c>
      <c r="M902" s="46" t="str">
        <f>IFERROR(__xludf.DUMMYFUNCTION("IF(Account!$F902&lt;&gt;"""", VALUE(REGEXREPLACE($I902, ""\,"", ""."")), """")"),"")</f>
        <v/>
      </c>
      <c r="N902" s="47" t="str">
        <f>IF(Account!$F902&lt;&gt;"", DATEVALUE(MID($A902,4,3) &amp; LEFT($A902,3) &amp; RIGHT($A902,4)) + TIMEVALUE($B902), "")</f>
        <v/>
      </c>
      <c r="O902" s="48" t="str">
        <f>IF(Account!$F902&lt;&gt;"", DATEVALUE(MID($A902,4,3) &amp; LEFT($A902,3) &amp; RIGHT($A902,4)), "")</f>
        <v/>
      </c>
      <c r="P902" s="49" t="str">
        <f>IFERROR(VLOOKUP($Q902,Selection!$F:$G,2,false))</f>
        <v/>
      </c>
      <c r="Q902" s="50" t="str">
        <f>IF(AND($X902="change",$H902="EUR"),IF(AND($Z902="Crédit",$N902=$N903),$Q903,IF(AND($Z902="Débit",$N902=$N901),$Q901)),IF(OR(AND(OR($E902&lt;&gt;"",$L902=""),$M902&lt;&gt;0),$A902=""),IFERROR(VLOOKUP($E902,Selection!$E:$F,2,false)),IFERROR(VLOOKUP(SUBSTITUTE($I902,"-","",1),$K903:$Q1119,7,false),VLOOKUP($K902,$K903:$Q1119,7,false))))</f>
        <v/>
      </c>
      <c r="R902" s="49" t="str">
        <f t="shared" si="2"/>
        <v/>
      </c>
      <c r="S902" s="51" t="str">
        <f t="shared" si="3"/>
        <v/>
      </c>
      <c r="T902" s="52" t="str">
        <f t="shared" si="4"/>
        <v/>
      </c>
      <c r="U902" s="46" t="str">
        <f t="shared" si="5"/>
        <v/>
      </c>
      <c r="V902" s="53" t="str">
        <f>IFERROR(__xludf.DUMMYFUNCTION(" IF(Account!$F902&lt;&gt;"""", SPLIT(Account!$F902, "" ""), """")"),"")</f>
        <v/>
      </c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</row>
    <row r="903">
      <c r="A903" s="215"/>
      <c r="B903" s="215"/>
      <c r="C903" s="215"/>
      <c r="D903" s="215"/>
      <c r="E903" s="215"/>
      <c r="F903" s="373"/>
      <c r="G903" s="215"/>
      <c r="H903" s="215"/>
      <c r="I903" s="215"/>
      <c r="J903" s="215"/>
      <c r="K903" s="215"/>
      <c r="L903" s="45" t="str">
        <f t="shared" si="1"/>
        <v/>
      </c>
      <c r="M903" s="46" t="str">
        <f>IFERROR(__xludf.DUMMYFUNCTION("IF(Account!$F903&lt;&gt;"""", VALUE(REGEXREPLACE($I903, ""\,"", ""."")), """")"),"")</f>
        <v/>
      </c>
      <c r="N903" s="47" t="str">
        <f>IF(Account!$F903&lt;&gt;"", DATEVALUE(MID($A903,4,3) &amp; LEFT($A903,3) &amp; RIGHT($A903,4)) + TIMEVALUE($B903), "")</f>
        <v/>
      </c>
      <c r="O903" s="48" t="str">
        <f>IF(Account!$F903&lt;&gt;"", DATEVALUE(MID($A903,4,3) &amp; LEFT($A903,3) &amp; RIGHT($A903,4)), "")</f>
        <v/>
      </c>
      <c r="P903" s="49" t="str">
        <f>IFERROR(VLOOKUP($Q903,Selection!$F:$G,2,false))</f>
        <v/>
      </c>
      <c r="Q903" s="50" t="str">
        <f>IF(AND($X903="change",$H903="EUR"),IF(AND($Z903="Crédit",$N903=$N904),$Q904,IF(AND($Z903="Débit",$N903=$N902),$Q902)),IF(OR(AND(OR($E903&lt;&gt;"",$L903=""),$M903&lt;&gt;0),$A903=""),IFERROR(VLOOKUP($E903,Selection!$E:$F,2,false)),IFERROR(VLOOKUP(SUBSTITUTE($I903,"-","",1),$K904:$Q1119,7,false),VLOOKUP($K903,$K904:$Q1119,7,false))))</f>
        <v/>
      </c>
      <c r="R903" s="49" t="str">
        <f t="shared" si="2"/>
        <v/>
      </c>
      <c r="S903" s="51" t="str">
        <f t="shared" si="3"/>
        <v/>
      </c>
      <c r="T903" s="52" t="str">
        <f t="shared" si="4"/>
        <v/>
      </c>
      <c r="U903" s="46" t="str">
        <f t="shared" si="5"/>
        <v/>
      </c>
      <c r="V903" s="53" t="str">
        <f>IFERROR(__xludf.DUMMYFUNCTION(" IF(Account!$F903&lt;&gt;"""", SPLIT(Account!$F903, "" ""), """")"),"")</f>
        <v/>
      </c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</row>
    <row r="904">
      <c r="A904" s="215"/>
      <c r="B904" s="215"/>
      <c r="C904" s="215"/>
      <c r="D904" s="215"/>
      <c r="E904" s="215"/>
      <c r="F904" s="373"/>
      <c r="G904" s="215"/>
      <c r="H904" s="215"/>
      <c r="I904" s="215"/>
      <c r="J904" s="215"/>
      <c r="K904" s="215"/>
      <c r="L904" s="45" t="str">
        <f t="shared" si="1"/>
        <v/>
      </c>
      <c r="M904" s="46" t="str">
        <f>IFERROR(__xludf.DUMMYFUNCTION("IF(Account!$F904&lt;&gt;"""", VALUE(REGEXREPLACE($I904, ""\,"", ""."")), """")"),"")</f>
        <v/>
      </c>
      <c r="N904" s="47" t="str">
        <f>IF(Account!$F904&lt;&gt;"", DATEVALUE(MID($A904,4,3) &amp; LEFT($A904,3) &amp; RIGHT($A904,4)) + TIMEVALUE($B904), "")</f>
        <v/>
      </c>
      <c r="O904" s="48" t="str">
        <f>IF(Account!$F904&lt;&gt;"", DATEVALUE(MID($A904,4,3) &amp; LEFT($A904,3) &amp; RIGHT($A904,4)), "")</f>
        <v/>
      </c>
      <c r="P904" s="49" t="str">
        <f>IFERROR(VLOOKUP($Q904,Selection!$F:$G,2,false))</f>
        <v/>
      </c>
      <c r="Q904" s="50" t="str">
        <f>IF(AND($X904="change",$H904="EUR"),IF(AND($Z904="Crédit",$N904=$N905),$Q905,IF(AND($Z904="Débit",$N904=$N903),$Q903)),IF(OR(AND(OR($E904&lt;&gt;"",$L904=""),$M904&lt;&gt;0),$A904=""),IFERROR(VLOOKUP($E904,Selection!$E:$F,2,false)),IFERROR(VLOOKUP(SUBSTITUTE($I904,"-","",1),$K905:$Q1119,7,false),VLOOKUP($K904,$K905:$Q1119,7,false))))</f>
        <v/>
      </c>
      <c r="R904" s="49" t="str">
        <f t="shared" si="2"/>
        <v/>
      </c>
      <c r="S904" s="51" t="str">
        <f t="shared" si="3"/>
        <v/>
      </c>
      <c r="T904" s="52" t="str">
        <f t="shared" si="4"/>
        <v/>
      </c>
      <c r="U904" s="46" t="str">
        <f t="shared" si="5"/>
        <v/>
      </c>
      <c r="V904" s="53" t="str">
        <f>IFERROR(__xludf.DUMMYFUNCTION(" IF(Account!$F904&lt;&gt;"""", SPLIT(Account!$F904, "" ""), """")"),"")</f>
        <v/>
      </c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</row>
    <row r="905">
      <c r="A905" s="215"/>
      <c r="B905" s="215"/>
      <c r="C905" s="215"/>
      <c r="D905" s="215"/>
      <c r="E905" s="215"/>
      <c r="F905" s="373"/>
      <c r="G905" s="215"/>
      <c r="H905" s="215"/>
      <c r="I905" s="215"/>
      <c r="J905" s="215"/>
      <c r="K905" s="215"/>
      <c r="L905" s="45" t="str">
        <f t="shared" si="1"/>
        <v/>
      </c>
      <c r="M905" s="46" t="str">
        <f>IFERROR(__xludf.DUMMYFUNCTION("IF(Account!$F905&lt;&gt;"""", VALUE(REGEXREPLACE($I905, ""\,"", ""."")), """")"),"")</f>
        <v/>
      </c>
      <c r="N905" s="47" t="str">
        <f>IF(Account!$F905&lt;&gt;"", DATEVALUE(MID($A905,4,3) &amp; LEFT($A905,3) &amp; RIGHT($A905,4)) + TIMEVALUE($B905), "")</f>
        <v/>
      </c>
      <c r="O905" s="48" t="str">
        <f>IF(Account!$F905&lt;&gt;"", DATEVALUE(MID($A905,4,3) &amp; LEFT($A905,3) &amp; RIGHT($A905,4)), "")</f>
        <v/>
      </c>
      <c r="P905" s="49" t="str">
        <f>IFERROR(VLOOKUP($Q905,Selection!$F:$G,2,false))</f>
        <v/>
      </c>
      <c r="Q905" s="50" t="str">
        <f>IF(AND($X905="change",$H905="EUR"),IF(AND($Z905="Crédit",$N905=$N906),$Q906,IF(AND($Z905="Débit",$N905=$N904),$Q904)),IF(OR(AND(OR($E905&lt;&gt;"",$L905=""),$M905&lt;&gt;0),$A905=""),IFERROR(VLOOKUP($E905,Selection!$E:$F,2,false)),IFERROR(VLOOKUP(SUBSTITUTE($I905,"-","",1),$K906:$Q1119,7,false),VLOOKUP($K905,$K906:$Q1119,7,false))))</f>
        <v/>
      </c>
      <c r="R905" s="49" t="str">
        <f t="shared" si="2"/>
        <v/>
      </c>
      <c r="S905" s="51" t="str">
        <f t="shared" si="3"/>
        <v/>
      </c>
      <c r="T905" s="52" t="str">
        <f t="shared" si="4"/>
        <v/>
      </c>
      <c r="U905" s="46" t="str">
        <f t="shared" si="5"/>
        <v/>
      </c>
      <c r="V905" s="53" t="str">
        <f>IFERROR(__xludf.DUMMYFUNCTION(" IF(Account!$F905&lt;&gt;"""", SPLIT(Account!$F905, "" ""), """")"),"")</f>
        <v/>
      </c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</row>
    <row r="906">
      <c r="A906" s="215"/>
      <c r="B906" s="215"/>
      <c r="C906" s="215"/>
      <c r="D906" s="215"/>
      <c r="E906" s="215"/>
      <c r="F906" s="373"/>
      <c r="G906" s="215"/>
      <c r="H906" s="215"/>
      <c r="I906" s="215"/>
      <c r="J906" s="215"/>
      <c r="K906" s="215"/>
      <c r="L906" s="45" t="str">
        <f t="shared" si="1"/>
        <v/>
      </c>
      <c r="M906" s="46" t="str">
        <f>IFERROR(__xludf.DUMMYFUNCTION("IF(Account!$F906&lt;&gt;"""", VALUE(REGEXREPLACE($I906, ""\,"", ""."")), """")"),"")</f>
        <v/>
      </c>
      <c r="N906" s="47" t="str">
        <f>IF(Account!$F906&lt;&gt;"", DATEVALUE(MID($A906,4,3) &amp; LEFT($A906,3) &amp; RIGHT($A906,4)) + TIMEVALUE($B906), "")</f>
        <v/>
      </c>
      <c r="O906" s="48" t="str">
        <f>IF(Account!$F906&lt;&gt;"", DATEVALUE(MID($A906,4,3) &amp; LEFT($A906,3) &amp; RIGHT($A906,4)), "")</f>
        <v/>
      </c>
      <c r="P906" s="49" t="str">
        <f>IFERROR(VLOOKUP($Q906,Selection!$F:$G,2,false))</f>
        <v/>
      </c>
      <c r="Q906" s="50" t="str">
        <f>IF(AND($X906="change",$H906="EUR"),IF(AND($Z906="Crédit",$N906=$N907),$Q907,IF(AND($Z906="Débit",$N906=$N905),$Q905)),IF(OR(AND(OR($E906&lt;&gt;"",$L906=""),$M906&lt;&gt;0),$A906=""),IFERROR(VLOOKUP($E906,Selection!$E:$F,2,false)),IFERROR(VLOOKUP(SUBSTITUTE($I906,"-","",1),$K907:$Q1119,7,false),VLOOKUP($K906,$K907:$Q1119,7,false))))</f>
        <v/>
      </c>
      <c r="R906" s="49" t="str">
        <f t="shared" si="2"/>
        <v/>
      </c>
      <c r="S906" s="51" t="str">
        <f t="shared" si="3"/>
        <v/>
      </c>
      <c r="T906" s="52" t="str">
        <f t="shared" si="4"/>
        <v/>
      </c>
      <c r="U906" s="46" t="str">
        <f t="shared" si="5"/>
        <v/>
      </c>
      <c r="V906" s="53" t="str">
        <f>IFERROR(__xludf.DUMMYFUNCTION(" IF(Account!$F906&lt;&gt;"""", SPLIT(Account!$F906, "" ""), """")"),"")</f>
        <v/>
      </c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</row>
    <row r="907">
      <c r="A907" s="215"/>
      <c r="B907" s="215"/>
      <c r="C907" s="215"/>
      <c r="D907" s="215"/>
      <c r="E907" s="215"/>
      <c r="F907" s="373"/>
      <c r="G907" s="215"/>
      <c r="H907" s="215"/>
      <c r="I907" s="215"/>
      <c r="J907" s="215"/>
      <c r="K907" s="215"/>
      <c r="L907" s="45" t="str">
        <f t="shared" si="1"/>
        <v/>
      </c>
      <c r="M907" s="46" t="str">
        <f>IFERROR(__xludf.DUMMYFUNCTION("IF(Account!$F907&lt;&gt;"""", VALUE(REGEXREPLACE($I907, ""\,"", ""."")), """")"),"")</f>
        <v/>
      </c>
      <c r="N907" s="47" t="str">
        <f>IF(Account!$F907&lt;&gt;"", DATEVALUE(MID($A907,4,3) &amp; LEFT($A907,3) &amp; RIGHT($A907,4)) + TIMEVALUE($B907), "")</f>
        <v/>
      </c>
      <c r="O907" s="48" t="str">
        <f>IF(Account!$F907&lt;&gt;"", DATEVALUE(MID($A907,4,3) &amp; LEFT($A907,3) &amp; RIGHT($A907,4)), "")</f>
        <v/>
      </c>
      <c r="P907" s="49" t="str">
        <f>IFERROR(VLOOKUP($Q907,Selection!$F:$G,2,false))</f>
        <v/>
      </c>
      <c r="Q907" s="50" t="str">
        <f>IF(AND($X907="change",$H907="EUR"),IF(AND($Z907="Crédit",$N907=$N908),$Q908,IF(AND($Z907="Débit",$N907=$N906),$Q906)),IF(OR(AND(OR($E907&lt;&gt;"",$L907=""),$M907&lt;&gt;0),$A907=""),IFERROR(VLOOKUP($E907,Selection!$E:$F,2,false)),IFERROR(VLOOKUP(SUBSTITUTE($I907,"-","",1),$K908:$Q1119,7,false),VLOOKUP($K907,$K908:$Q1119,7,false))))</f>
        <v/>
      </c>
      <c r="R907" s="49" t="str">
        <f t="shared" si="2"/>
        <v/>
      </c>
      <c r="S907" s="51" t="str">
        <f t="shared" si="3"/>
        <v/>
      </c>
      <c r="T907" s="52" t="str">
        <f t="shared" si="4"/>
        <v/>
      </c>
      <c r="U907" s="46" t="str">
        <f t="shared" si="5"/>
        <v/>
      </c>
      <c r="V907" s="53" t="str">
        <f>IFERROR(__xludf.DUMMYFUNCTION(" IF(Account!$F907&lt;&gt;"""", SPLIT(Account!$F907, "" ""), """")"),"")</f>
        <v/>
      </c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</row>
    <row r="908">
      <c r="A908" s="215"/>
      <c r="B908" s="215"/>
      <c r="C908" s="215"/>
      <c r="D908" s="215"/>
      <c r="E908" s="215"/>
      <c r="F908" s="373"/>
      <c r="G908" s="215"/>
      <c r="H908" s="215"/>
      <c r="I908" s="215"/>
      <c r="J908" s="215"/>
      <c r="K908" s="215"/>
      <c r="L908" s="45" t="str">
        <f t="shared" si="1"/>
        <v/>
      </c>
      <c r="M908" s="46" t="str">
        <f>IFERROR(__xludf.DUMMYFUNCTION("IF(Account!$F908&lt;&gt;"""", VALUE(REGEXREPLACE($I908, ""\,"", ""."")), """")"),"")</f>
        <v/>
      </c>
      <c r="N908" s="47" t="str">
        <f>IF(Account!$F908&lt;&gt;"", DATEVALUE(MID($A908,4,3) &amp; LEFT($A908,3) &amp; RIGHT($A908,4)) + TIMEVALUE($B908), "")</f>
        <v/>
      </c>
      <c r="O908" s="48" t="str">
        <f>IF(Account!$F908&lt;&gt;"", DATEVALUE(MID($A908,4,3) &amp; LEFT($A908,3) &amp; RIGHT($A908,4)), "")</f>
        <v/>
      </c>
      <c r="P908" s="49" t="str">
        <f>IFERROR(VLOOKUP($Q908,Selection!$F:$G,2,false))</f>
        <v/>
      </c>
      <c r="Q908" s="50" t="str">
        <f>IF(AND($X908="change",$H908="EUR"),IF(AND($Z908="Crédit",$N908=$N909),$Q909,IF(AND($Z908="Débit",$N908=$N907),$Q907)),IF(OR(AND(OR($E908&lt;&gt;"",$L908=""),$M908&lt;&gt;0),$A908=""),IFERROR(VLOOKUP($E908,Selection!$E:$F,2,false)),IFERROR(VLOOKUP(SUBSTITUTE($I908,"-","",1),$K909:$Q1119,7,false),VLOOKUP($K908,$K909:$Q1119,7,false))))</f>
        <v/>
      </c>
      <c r="R908" s="49" t="str">
        <f t="shared" si="2"/>
        <v/>
      </c>
      <c r="S908" s="51" t="str">
        <f t="shared" si="3"/>
        <v/>
      </c>
      <c r="T908" s="52" t="str">
        <f t="shared" si="4"/>
        <v/>
      </c>
      <c r="U908" s="46" t="str">
        <f t="shared" si="5"/>
        <v/>
      </c>
      <c r="V908" s="53" t="str">
        <f>IFERROR(__xludf.DUMMYFUNCTION(" IF(Account!$F908&lt;&gt;"""", SPLIT(Account!$F908, "" ""), """")"),"")</f>
        <v/>
      </c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</row>
    <row r="909">
      <c r="A909" s="215"/>
      <c r="B909" s="215"/>
      <c r="C909" s="215"/>
      <c r="D909" s="215"/>
      <c r="E909" s="215"/>
      <c r="F909" s="373"/>
      <c r="G909" s="215"/>
      <c r="H909" s="215"/>
      <c r="I909" s="215"/>
      <c r="J909" s="215"/>
      <c r="K909" s="215"/>
      <c r="L909" s="45" t="str">
        <f t="shared" si="1"/>
        <v/>
      </c>
      <c r="M909" s="46" t="str">
        <f>IFERROR(__xludf.DUMMYFUNCTION("IF(Account!$F909&lt;&gt;"""", VALUE(REGEXREPLACE($I909, ""\,"", ""."")), """")"),"")</f>
        <v/>
      </c>
      <c r="N909" s="47" t="str">
        <f>IF(Account!$F909&lt;&gt;"", DATEVALUE(MID($A909,4,3) &amp; LEFT($A909,3) &amp; RIGHT($A909,4)) + TIMEVALUE($B909), "")</f>
        <v/>
      </c>
      <c r="O909" s="48" t="str">
        <f>IF(Account!$F909&lt;&gt;"", DATEVALUE(MID($A909,4,3) &amp; LEFT($A909,3) &amp; RIGHT($A909,4)), "")</f>
        <v/>
      </c>
      <c r="P909" s="49" t="str">
        <f>IFERROR(VLOOKUP($Q909,Selection!$F:$G,2,false))</f>
        <v/>
      </c>
      <c r="Q909" s="50" t="str">
        <f>IF(AND($X909="change",$H909="EUR"),IF(AND($Z909="Crédit",$N909=$N910),$Q910,IF(AND($Z909="Débit",$N909=$N908),$Q908)),IF(OR(AND(OR($E909&lt;&gt;"",$L909=""),$M909&lt;&gt;0),$A909=""),IFERROR(VLOOKUP($E909,Selection!$E:$F,2,false)),IFERROR(VLOOKUP(SUBSTITUTE($I909,"-","",1),$K910:$Q1119,7,false),VLOOKUP($K909,$K910:$Q1119,7,false))))</f>
        <v/>
      </c>
      <c r="R909" s="49" t="str">
        <f t="shared" si="2"/>
        <v/>
      </c>
      <c r="S909" s="51" t="str">
        <f t="shared" si="3"/>
        <v/>
      </c>
      <c r="T909" s="52" t="str">
        <f t="shared" si="4"/>
        <v/>
      </c>
      <c r="U909" s="46" t="str">
        <f t="shared" si="5"/>
        <v/>
      </c>
      <c r="V909" s="53" t="str">
        <f>IFERROR(__xludf.DUMMYFUNCTION(" IF(Account!$F909&lt;&gt;"""", SPLIT(Account!$F909, "" ""), """")"),"")</f>
        <v/>
      </c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</row>
    <row r="910">
      <c r="A910" s="215"/>
      <c r="B910" s="215"/>
      <c r="C910" s="215"/>
      <c r="D910" s="215"/>
      <c r="E910" s="215"/>
      <c r="F910" s="373"/>
      <c r="G910" s="215"/>
      <c r="H910" s="215"/>
      <c r="I910" s="215"/>
      <c r="J910" s="215"/>
      <c r="K910" s="215"/>
      <c r="L910" s="45" t="str">
        <f t="shared" si="1"/>
        <v/>
      </c>
      <c r="M910" s="46" t="str">
        <f>IFERROR(__xludf.DUMMYFUNCTION("IF(Account!$F910&lt;&gt;"""", VALUE(REGEXREPLACE($I910, ""\,"", ""."")), """")"),"")</f>
        <v/>
      </c>
      <c r="N910" s="47" t="str">
        <f>IF(Account!$F910&lt;&gt;"", DATEVALUE(MID($A910,4,3) &amp; LEFT($A910,3) &amp; RIGHT($A910,4)) + TIMEVALUE($B910), "")</f>
        <v/>
      </c>
      <c r="O910" s="48" t="str">
        <f>IF(Account!$F910&lt;&gt;"", DATEVALUE(MID($A910,4,3) &amp; LEFT($A910,3) &amp; RIGHT($A910,4)), "")</f>
        <v/>
      </c>
      <c r="P910" s="49" t="str">
        <f>IFERROR(VLOOKUP($Q910,Selection!$F:$G,2,false))</f>
        <v/>
      </c>
      <c r="Q910" s="50" t="str">
        <f>IF(AND($X910="change",$H910="EUR"),IF(AND($Z910="Crédit",$N910=$N911),$Q911,IF(AND($Z910="Débit",$N910=$N909),$Q909)),IF(OR(AND(OR($E910&lt;&gt;"",$L910=""),$M910&lt;&gt;0),$A910=""),IFERROR(VLOOKUP($E910,Selection!$E:$F,2,false)),IFERROR(VLOOKUP(SUBSTITUTE($I910,"-","",1),$K911:$Q1119,7,false),VLOOKUP($K910,$K911:$Q1119,7,false))))</f>
        <v/>
      </c>
      <c r="R910" s="49" t="str">
        <f t="shared" si="2"/>
        <v/>
      </c>
      <c r="S910" s="51" t="str">
        <f t="shared" si="3"/>
        <v/>
      </c>
      <c r="T910" s="52" t="str">
        <f t="shared" si="4"/>
        <v/>
      </c>
      <c r="U910" s="46" t="str">
        <f t="shared" si="5"/>
        <v/>
      </c>
      <c r="V910" s="53" t="str">
        <f>IFERROR(__xludf.DUMMYFUNCTION(" IF(Account!$F910&lt;&gt;"""", SPLIT(Account!$F910, "" ""), """")"),"")</f>
        <v/>
      </c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</row>
    <row r="911">
      <c r="A911" s="215"/>
      <c r="B911" s="215"/>
      <c r="C911" s="215"/>
      <c r="D911" s="215"/>
      <c r="E911" s="215"/>
      <c r="F911" s="373"/>
      <c r="G911" s="215"/>
      <c r="H911" s="215"/>
      <c r="I911" s="215"/>
      <c r="J911" s="215"/>
      <c r="K911" s="215"/>
      <c r="L911" s="45" t="str">
        <f t="shared" si="1"/>
        <v/>
      </c>
      <c r="M911" s="46" t="str">
        <f>IFERROR(__xludf.DUMMYFUNCTION("IF(Account!$F911&lt;&gt;"""", VALUE(REGEXREPLACE($I911, ""\,"", ""."")), """")"),"")</f>
        <v/>
      </c>
      <c r="N911" s="47" t="str">
        <f>IF(Account!$F911&lt;&gt;"", DATEVALUE(MID($A911,4,3) &amp; LEFT($A911,3) &amp; RIGHT($A911,4)) + TIMEVALUE($B911), "")</f>
        <v/>
      </c>
      <c r="O911" s="48" t="str">
        <f>IF(Account!$F911&lt;&gt;"", DATEVALUE(MID($A911,4,3) &amp; LEFT($A911,3) &amp; RIGHT($A911,4)), "")</f>
        <v/>
      </c>
      <c r="P911" s="49" t="str">
        <f>IFERROR(VLOOKUP($Q911,Selection!$F:$G,2,false))</f>
        <v/>
      </c>
      <c r="Q911" s="50" t="str">
        <f>IF(AND($X911="change",$H911="EUR"),IF(AND($Z911="Crédit",$N911=$N912),$Q912,IF(AND($Z911="Débit",$N911=$N910),$Q910)),IF(OR(AND(OR($E911&lt;&gt;"",$L911=""),$M911&lt;&gt;0),$A911=""),IFERROR(VLOOKUP($E911,Selection!$E:$F,2,false)),IFERROR(VLOOKUP(SUBSTITUTE($I911,"-","",1),$K912:$Q1119,7,false),VLOOKUP($K911,$K912:$Q1119,7,false))))</f>
        <v/>
      </c>
      <c r="R911" s="49" t="str">
        <f t="shared" si="2"/>
        <v/>
      </c>
      <c r="S911" s="51" t="str">
        <f t="shared" si="3"/>
        <v/>
      </c>
      <c r="T911" s="52" t="str">
        <f t="shared" si="4"/>
        <v/>
      </c>
      <c r="U911" s="46" t="str">
        <f t="shared" si="5"/>
        <v/>
      </c>
      <c r="V911" s="53" t="str">
        <f>IFERROR(__xludf.DUMMYFUNCTION(" IF(Account!$F911&lt;&gt;"""", SPLIT(Account!$F911, "" ""), """")"),"")</f>
        <v/>
      </c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</row>
    <row r="912">
      <c r="A912" s="215"/>
      <c r="B912" s="215"/>
      <c r="C912" s="215"/>
      <c r="D912" s="215"/>
      <c r="E912" s="215"/>
      <c r="F912" s="373"/>
      <c r="G912" s="215"/>
      <c r="H912" s="215"/>
      <c r="I912" s="215"/>
      <c r="J912" s="215"/>
      <c r="K912" s="215"/>
      <c r="L912" s="45" t="str">
        <f t="shared" si="1"/>
        <v/>
      </c>
      <c r="M912" s="46" t="str">
        <f>IFERROR(__xludf.DUMMYFUNCTION("IF(Account!$F912&lt;&gt;"""", VALUE(REGEXREPLACE($I912, ""\,"", ""."")), """")"),"")</f>
        <v/>
      </c>
      <c r="N912" s="47" t="str">
        <f>IF(Account!$F912&lt;&gt;"", DATEVALUE(MID($A912,4,3) &amp; LEFT($A912,3) &amp; RIGHT($A912,4)) + TIMEVALUE($B912), "")</f>
        <v/>
      </c>
      <c r="O912" s="48" t="str">
        <f>IF(Account!$F912&lt;&gt;"", DATEVALUE(MID($A912,4,3) &amp; LEFT($A912,3) &amp; RIGHT($A912,4)), "")</f>
        <v/>
      </c>
      <c r="P912" s="49" t="str">
        <f>IFERROR(VLOOKUP($Q912,Selection!$F:$G,2,false))</f>
        <v/>
      </c>
      <c r="Q912" s="50" t="str">
        <f>IF(AND($X912="change",$H912="EUR"),IF(AND($Z912="Crédit",$N912=$N913),$Q913,IF(AND($Z912="Débit",$N912=$N911),$Q911)),IF(OR(AND(OR($E912&lt;&gt;"",$L912=""),$M912&lt;&gt;0),$A912=""),IFERROR(VLOOKUP($E912,Selection!$E:$F,2,false)),IFERROR(VLOOKUP(SUBSTITUTE($I912,"-","",1),$K913:$Q1119,7,false),VLOOKUP($K912,$K913:$Q1119,7,false))))</f>
        <v/>
      </c>
      <c r="R912" s="49" t="str">
        <f t="shared" si="2"/>
        <v/>
      </c>
      <c r="S912" s="51" t="str">
        <f t="shared" si="3"/>
        <v/>
      </c>
      <c r="T912" s="52" t="str">
        <f t="shared" si="4"/>
        <v/>
      </c>
      <c r="U912" s="46" t="str">
        <f t="shared" si="5"/>
        <v/>
      </c>
      <c r="V912" s="53" t="str">
        <f>IFERROR(__xludf.DUMMYFUNCTION(" IF(Account!$F912&lt;&gt;"""", SPLIT(Account!$F912, "" ""), """")"),"")</f>
        <v/>
      </c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</row>
    <row r="913">
      <c r="A913" s="215"/>
      <c r="B913" s="215"/>
      <c r="C913" s="215"/>
      <c r="D913" s="215"/>
      <c r="E913" s="215"/>
      <c r="F913" s="373"/>
      <c r="G913" s="215"/>
      <c r="H913" s="215"/>
      <c r="I913" s="215"/>
      <c r="J913" s="215"/>
      <c r="K913" s="215"/>
      <c r="L913" s="45" t="str">
        <f t="shared" si="1"/>
        <v/>
      </c>
      <c r="M913" s="46" t="str">
        <f>IFERROR(__xludf.DUMMYFUNCTION("IF(Account!$F913&lt;&gt;"""", VALUE(REGEXREPLACE($I913, ""\,"", ""."")), """")"),"")</f>
        <v/>
      </c>
      <c r="N913" s="47" t="str">
        <f>IF(Account!$F913&lt;&gt;"", DATEVALUE(MID($A913,4,3) &amp; LEFT($A913,3) &amp; RIGHT($A913,4)) + TIMEVALUE($B913), "")</f>
        <v/>
      </c>
      <c r="O913" s="48" t="str">
        <f>IF(Account!$F913&lt;&gt;"", DATEVALUE(MID($A913,4,3) &amp; LEFT($A913,3) &amp; RIGHT($A913,4)), "")</f>
        <v/>
      </c>
      <c r="P913" s="49" t="str">
        <f>IFERROR(VLOOKUP($Q913,Selection!$F:$G,2,false))</f>
        <v/>
      </c>
      <c r="Q913" s="50" t="str">
        <f>IF(AND($X913="change",$H913="EUR"),IF(AND($Z913="Crédit",$N913=$N914),$Q914,IF(AND($Z913="Débit",$N913=$N912),$Q912)),IF(OR(AND(OR($E913&lt;&gt;"",$L913=""),$M913&lt;&gt;0),$A913=""),IFERROR(VLOOKUP($E913,Selection!$E:$F,2,false)),IFERROR(VLOOKUP(SUBSTITUTE($I913,"-","",1),$K914:$Q1119,7,false),VLOOKUP($K913,$K914:$Q1119,7,false))))</f>
        <v/>
      </c>
      <c r="R913" s="49" t="str">
        <f t="shared" si="2"/>
        <v/>
      </c>
      <c r="S913" s="51" t="str">
        <f t="shared" si="3"/>
        <v/>
      </c>
      <c r="T913" s="52" t="str">
        <f t="shared" si="4"/>
        <v/>
      </c>
      <c r="U913" s="46" t="str">
        <f t="shared" si="5"/>
        <v/>
      </c>
      <c r="V913" s="53" t="str">
        <f>IFERROR(__xludf.DUMMYFUNCTION(" IF(Account!$F913&lt;&gt;"""", SPLIT(Account!$F913, "" ""), """")"),"")</f>
        <v/>
      </c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</row>
    <row r="914">
      <c r="A914" s="215"/>
      <c r="B914" s="215"/>
      <c r="C914" s="215"/>
      <c r="D914" s="215"/>
      <c r="E914" s="215"/>
      <c r="F914" s="373"/>
      <c r="G914" s="215"/>
      <c r="H914" s="215"/>
      <c r="I914" s="215"/>
      <c r="J914" s="215"/>
      <c r="K914" s="215"/>
      <c r="L914" s="45" t="str">
        <f t="shared" si="1"/>
        <v/>
      </c>
      <c r="M914" s="46" t="str">
        <f>IFERROR(__xludf.DUMMYFUNCTION("IF(Account!$F914&lt;&gt;"""", VALUE(REGEXREPLACE($I914, ""\,"", ""."")), """")"),"")</f>
        <v/>
      </c>
      <c r="N914" s="47" t="str">
        <f>IF(Account!$F914&lt;&gt;"", DATEVALUE(MID($A914,4,3) &amp; LEFT($A914,3) &amp; RIGHT($A914,4)) + TIMEVALUE($B914), "")</f>
        <v/>
      </c>
      <c r="O914" s="48" t="str">
        <f>IF(Account!$F914&lt;&gt;"", DATEVALUE(MID($A914,4,3) &amp; LEFT($A914,3) &amp; RIGHT($A914,4)), "")</f>
        <v/>
      </c>
      <c r="P914" s="49" t="str">
        <f>IFERROR(VLOOKUP($Q914,Selection!$F:$G,2,false))</f>
        <v/>
      </c>
      <c r="Q914" s="50" t="str">
        <f>IF(AND($X914="change",$H914="EUR"),IF(AND($Z914="Crédit",$N914=$N915),$Q915,IF(AND($Z914="Débit",$N914=$N913),$Q913)),IF(OR(AND(OR($E914&lt;&gt;"",$L914=""),$M914&lt;&gt;0),$A914=""),IFERROR(VLOOKUP($E914,Selection!$E:$F,2,false)),IFERROR(VLOOKUP(SUBSTITUTE($I914,"-","",1),$K915:$Q1119,7,false),VLOOKUP($K914,$K915:$Q1119,7,false))))</f>
        <v/>
      </c>
      <c r="R914" s="49" t="str">
        <f t="shared" si="2"/>
        <v/>
      </c>
      <c r="S914" s="51" t="str">
        <f t="shared" si="3"/>
        <v/>
      </c>
      <c r="T914" s="52" t="str">
        <f t="shared" si="4"/>
        <v/>
      </c>
      <c r="U914" s="46" t="str">
        <f t="shared" si="5"/>
        <v/>
      </c>
      <c r="V914" s="53" t="str">
        <f>IFERROR(__xludf.DUMMYFUNCTION(" IF(Account!$F914&lt;&gt;"""", SPLIT(Account!$F914, "" ""), """")"),"")</f>
        <v/>
      </c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</row>
    <row r="915">
      <c r="A915" s="215"/>
      <c r="B915" s="215"/>
      <c r="C915" s="215"/>
      <c r="D915" s="215"/>
      <c r="E915" s="215"/>
      <c r="F915" s="373"/>
      <c r="G915" s="215"/>
      <c r="H915" s="215"/>
      <c r="I915" s="215"/>
      <c r="J915" s="215"/>
      <c r="K915" s="215"/>
      <c r="L915" s="45" t="str">
        <f t="shared" si="1"/>
        <v/>
      </c>
      <c r="M915" s="46" t="str">
        <f>IFERROR(__xludf.DUMMYFUNCTION("IF(Account!$F915&lt;&gt;"""", VALUE(REGEXREPLACE($I915, ""\,"", ""."")), """")"),"")</f>
        <v/>
      </c>
      <c r="N915" s="47" t="str">
        <f>IF(Account!$F915&lt;&gt;"", DATEVALUE(MID($A915,4,3) &amp; LEFT($A915,3) &amp; RIGHT($A915,4)) + TIMEVALUE($B915), "")</f>
        <v/>
      </c>
      <c r="O915" s="48" t="str">
        <f>IF(Account!$F915&lt;&gt;"", DATEVALUE(MID($A915,4,3) &amp; LEFT($A915,3) &amp; RIGHT($A915,4)), "")</f>
        <v/>
      </c>
      <c r="P915" s="49" t="str">
        <f>IFERROR(VLOOKUP($Q915,Selection!$F:$G,2,false))</f>
        <v/>
      </c>
      <c r="Q915" s="50" t="str">
        <f>IF(AND($X915="change",$H915="EUR"),IF(AND($Z915="Crédit",$N915=$N916),$Q916,IF(AND($Z915="Débit",$N915=$N914),$Q914)),IF(OR(AND(OR($E915&lt;&gt;"",$L915=""),$M915&lt;&gt;0),$A915=""),IFERROR(VLOOKUP($E915,Selection!$E:$F,2,false)),IFERROR(VLOOKUP(SUBSTITUTE($I915,"-","",1),$K916:$Q1119,7,false),VLOOKUP($K915,$K916:$Q1119,7,false))))</f>
        <v/>
      </c>
      <c r="R915" s="49" t="str">
        <f t="shared" si="2"/>
        <v/>
      </c>
      <c r="S915" s="51" t="str">
        <f t="shared" si="3"/>
        <v/>
      </c>
      <c r="T915" s="52" t="str">
        <f t="shared" si="4"/>
        <v/>
      </c>
      <c r="U915" s="46" t="str">
        <f t="shared" si="5"/>
        <v/>
      </c>
      <c r="V915" s="53" t="str">
        <f>IFERROR(__xludf.DUMMYFUNCTION(" IF(Account!$F915&lt;&gt;"""", SPLIT(Account!$F915, "" ""), """")"),"")</f>
        <v/>
      </c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</row>
    <row r="916">
      <c r="A916" s="215"/>
      <c r="B916" s="215"/>
      <c r="C916" s="215"/>
      <c r="D916" s="215"/>
      <c r="E916" s="215"/>
      <c r="F916" s="373"/>
      <c r="G916" s="215"/>
      <c r="H916" s="215"/>
      <c r="I916" s="215"/>
      <c r="J916" s="215"/>
      <c r="K916" s="215"/>
      <c r="L916" s="45" t="str">
        <f t="shared" si="1"/>
        <v/>
      </c>
      <c r="M916" s="46" t="str">
        <f>IFERROR(__xludf.DUMMYFUNCTION("IF(Account!$F916&lt;&gt;"""", VALUE(REGEXREPLACE($I916, ""\,"", ""."")), """")"),"")</f>
        <v/>
      </c>
      <c r="N916" s="47" t="str">
        <f>IF(Account!$F916&lt;&gt;"", DATEVALUE(MID($A916,4,3) &amp; LEFT($A916,3) &amp; RIGHT($A916,4)) + TIMEVALUE($B916), "")</f>
        <v/>
      </c>
      <c r="O916" s="48" t="str">
        <f>IF(Account!$F916&lt;&gt;"", DATEVALUE(MID($A916,4,3) &amp; LEFT($A916,3) &amp; RIGHT($A916,4)), "")</f>
        <v/>
      </c>
      <c r="P916" s="49" t="str">
        <f>IFERROR(VLOOKUP($Q916,Selection!$F:$G,2,false))</f>
        <v/>
      </c>
      <c r="Q916" s="50" t="str">
        <f>IF(AND($X916="change",$H916="EUR"),IF(AND($Z916="Crédit",$N916=$N917),$Q917,IF(AND($Z916="Débit",$N916=$N915),$Q915)),IF(OR(AND(OR($E916&lt;&gt;"",$L916=""),$M916&lt;&gt;0),$A916=""),IFERROR(VLOOKUP($E916,Selection!$E:$F,2,false)),IFERROR(VLOOKUP(SUBSTITUTE($I916,"-","",1),$K917:$Q1119,7,false),VLOOKUP($K916,$K917:$Q1119,7,false))))</f>
        <v/>
      </c>
      <c r="R916" s="49" t="str">
        <f t="shared" si="2"/>
        <v/>
      </c>
      <c r="S916" s="51" t="str">
        <f t="shared" si="3"/>
        <v/>
      </c>
      <c r="T916" s="52" t="str">
        <f t="shared" si="4"/>
        <v/>
      </c>
      <c r="U916" s="46" t="str">
        <f t="shared" si="5"/>
        <v/>
      </c>
      <c r="V916" s="53" t="str">
        <f>IFERROR(__xludf.DUMMYFUNCTION(" IF(Account!$F916&lt;&gt;"""", SPLIT(Account!$F916, "" ""), """")"),"")</f>
        <v/>
      </c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</row>
    <row r="917">
      <c r="A917" s="215"/>
      <c r="B917" s="215"/>
      <c r="C917" s="215"/>
      <c r="D917" s="215"/>
      <c r="E917" s="215"/>
      <c r="F917" s="373"/>
      <c r="G917" s="215"/>
      <c r="H917" s="215"/>
      <c r="I917" s="215"/>
      <c r="J917" s="215"/>
      <c r="K917" s="215"/>
      <c r="L917" s="45" t="str">
        <f t="shared" si="1"/>
        <v/>
      </c>
      <c r="M917" s="46" t="str">
        <f>IFERROR(__xludf.DUMMYFUNCTION("IF(Account!$F917&lt;&gt;"""", VALUE(REGEXREPLACE($I917, ""\,"", ""."")), """")"),"")</f>
        <v/>
      </c>
      <c r="N917" s="47" t="str">
        <f>IF(Account!$F917&lt;&gt;"", DATEVALUE(MID($A917,4,3) &amp; LEFT($A917,3) &amp; RIGHT($A917,4)) + TIMEVALUE($B917), "")</f>
        <v/>
      </c>
      <c r="O917" s="48" t="str">
        <f>IF(Account!$F917&lt;&gt;"", DATEVALUE(MID($A917,4,3) &amp; LEFT($A917,3) &amp; RIGHT($A917,4)), "")</f>
        <v/>
      </c>
      <c r="P917" s="49" t="str">
        <f>IFERROR(VLOOKUP($Q917,Selection!$F:$G,2,false))</f>
        <v/>
      </c>
      <c r="Q917" s="50" t="str">
        <f>IF(AND($X917="change",$H917="EUR"),IF(AND($Z917="Crédit",$N917=$N918),$Q918,IF(AND($Z917="Débit",$N917=$N916),$Q916)),IF(OR(AND(OR($E917&lt;&gt;"",$L917=""),$M917&lt;&gt;0),$A917=""),IFERROR(VLOOKUP($E917,Selection!$E:$F,2,false)),IFERROR(VLOOKUP(SUBSTITUTE($I917,"-","",1),$K918:$Q1119,7,false),VLOOKUP($K917,$K918:$Q1119,7,false))))</f>
        <v/>
      </c>
      <c r="R917" s="49" t="str">
        <f t="shared" si="2"/>
        <v/>
      </c>
      <c r="S917" s="51" t="str">
        <f t="shared" si="3"/>
        <v/>
      </c>
      <c r="T917" s="52" t="str">
        <f t="shared" si="4"/>
        <v/>
      </c>
      <c r="U917" s="46" t="str">
        <f t="shared" si="5"/>
        <v/>
      </c>
      <c r="V917" s="53" t="str">
        <f>IFERROR(__xludf.DUMMYFUNCTION(" IF(Account!$F917&lt;&gt;"""", SPLIT(Account!$F917, "" ""), """")"),"")</f>
        <v/>
      </c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</row>
    <row r="918">
      <c r="A918" s="215"/>
      <c r="B918" s="215"/>
      <c r="C918" s="215"/>
      <c r="D918" s="215"/>
      <c r="E918" s="215"/>
      <c r="F918" s="373"/>
      <c r="G918" s="215"/>
      <c r="H918" s="215"/>
      <c r="I918" s="215"/>
      <c r="J918" s="215"/>
      <c r="K918" s="215"/>
      <c r="L918" s="45" t="str">
        <f t="shared" si="1"/>
        <v/>
      </c>
      <c r="M918" s="46" t="str">
        <f>IFERROR(__xludf.DUMMYFUNCTION("IF(Account!$F918&lt;&gt;"""", VALUE(REGEXREPLACE($I918, ""\,"", ""."")), """")"),"")</f>
        <v/>
      </c>
      <c r="N918" s="47" t="str">
        <f>IF(Account!$F918&lt;&gt;"", DATEVALUE(MID($A918,4,3) &amp; LEFT($A918,3) &amp; RIGHT($A918,4)) + TIMEVALUE($B918), "")</f>
        <v/>
      </c>
      <c r="O918" s="48" t="str">
        <f>IF(Account!$F918&lt;&gt;"", DATEVALUE(MID($A918,4,3) &amp; LEFT($A918,3) &amp; RIGHT($A918,4)), "")</f>
        <v/>
      </c>
      <c r="P918" s="49" t="str">
        <f>IFERROR(VLOOKUP($Q918,Selection!$F:$G,2,false))</f>
        <v/>
      </c>
      <c r="Q918" s="50" t="str">
        <f>IF(AND($X918="change",$H918="EUR"),IF(AND($Z918="Crédit",$N918=$N919),$Q919,IF(AND($Z918="Débit",$N918=$N917),$Q917)),IF(OR(AND(OR($E918&lt;&gt;"",$L918=""),$M918&lt;&gt;0),$A918=""),IFERROR(VLOOKUP($E918,Selection!$E:$F,2,false)),IFERROR(VLOOKUP(SUBSTITUTE($I918,"-","",1),$K919:$Q1119,7,false),VLOOKUP($K918,$K919:$Q1119,7,false))))</f>
        <v/>
      </c>
      <c r="R918" s="49" t="str">
        <f t="shared" si="2"/>
        <v/>
      </c>
      <c r="S918" s="51" t="str">
        <f t="shared" si="3"/>
        <v/>
      </c>
      <c r="T918" s="52" t="str">
        <f t="shared" si="4"/>
        <v/>
      </c>
      <c r="U918" s="46" t="str">
        <f t="shared" si="5"/>
        <v/>
      </c>
      <c r="V918" s="53" t="str">
        <f>IFERROR(__xludf.DUMMYFUNCTION(" IF(Account!$F918&lt;&gt;"""", SPLIT(Account!$F918, "" ""), """")"),"")</f>
        <v/>
      </c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</row>
    <row r="919">
      <c r="A919" s="215"/>
      <c r="B919" s="215"/>
      <c r="C919" s="215"/>
      <c r="D919" s="215"/>
      <c r="E919" s="215"/>
      <c r="F919" s="373"/>
      <c r="G919" s="215"/>
      <c r="H919" s="215"/>
      <c r="I919" s="215"/>
      <c r="J919" s="215"/>
      <c r="K919" s="215"/>
      <c r="L919" s="45" t="str">
        <f t="shared" si="1"/>
        <v/>
      </c>
      <c r="M919" s="46" t="str">
        <f>IFERROR(__xludf.DUMMYFUNCTION("IF(Account!$F919&lt;&gt;"""", VALUE(REGEXREPLACE($I919, ""\,"", ""."")), """")"),"")</f>
        <v/>
      </c>
      <c r="N919" s="47" t="str">
        <f>IF(Account!$F919&lt;&gt;"", DATEVALUE(MID($A919,4,3) &amp; LEFT($A919,3) &amp; RIGHT($A919,4)) + TIMEVALUE($B919), "")</f>
        <v/>
      </c>
      <c r="O919" s="48" t="str">
        <f>IF(Account!$F919&lt;&gt;"", DATEVALUE(MID($A919,4,3) &amp; LEFT($A919,3) &amp; RIGHT($A919,4)), "")</f>
        <v/>
      </c>
      <c r="P919" s="49" t="str">
        <f>IFERROR(VLOOKUP($Q919,Selection!$F:$G,2,false))</f>
        <v/>
      </c>
      <c r="Q919" s="50" t="str">
        <f>IF(AND($X919="change",$H919="EUR"),IF(AND($Z919="Crédit",$N919=$N920),$Q920,IF(AND($Z919="Débit",$N919=$N918),$Q918)),IF(OR(AND(OR($E919&lt;&gt;"",$L919=""),$M919&lt;&gt;0),$A919=""),IFERROR(VLOOKUP($E919,Selection!$E:$F,2,false)),IFERROR(VLOOKUP(SUBSTITUTE($I919,"-","",1),$K920:$Q1119,7,false),VLOOKUP($K919,$K920:$Q1119,7,false))))</f>
        <v/>
      </c>
      <c r="R919" s="49" t="str">
        <f t="shared" si="2"/>
        <v/>
      </c>
      <c r="S919" s="51" t="str">
        <f t="shared" si="3"/>
        <v/>
      </c>
      <c r="T919" s="52" t="str">
        <f t="shared" si="4"/>
        <v/>
      </c>
      <c r="U919" s="46" t="str">
        <f t="shared" si="5"/>
        <v/>
      </c>
      <c r="V919" s="53" t="str">
        <f>IFERROR(__xludf.DUMMYFUNCTION(" IF(Account!$F919&lt;&gt;"""", SPLIT(Account!$F919, "" ""), """")"),"")</f>
        <v/>
      </c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</row>
    <row r="920">
      <c r="A920" s="215"/>
      <c r="B920" s="215"/>
      <c r="C920" s="215"/>
      <c r="D920" s="215"/>
      <c r="E920" s="215"/>
      <c r="F920" s="373"/>
      <c r="G920" s="215"/>
      <c r="H920" s="215"/>
      <c r="I920" s="215"/>
      <c r="J920" s="215"/>
      <c r="K920" s="215"/>
      <c r="L920" s="45" t="str">
        <f t="shared" si="1"/>
        <v/>
      </c>
      <c r="M920" s="46" t="str">
        <f>IFERROR(__xludf.DUMMYFUNCTION("IF(Account!$F920&lt;&gt;"""", VALUE(REGEXREPLACE($I920, ""\,"", ""."")), """")"),"")</f>
        <v/>
      </c>
      <c r="N920" s="47" t="str">
        <f>IF(Account!$F920&lt;&gt;"", DATEVALUE(MID($A920,4,3) &amp; LEFT($A920,3) &amp; RIGHT($A920,4)) + TIMEVALUE($B920), "")</f>
        <v/>
      </c>
      <c r="O920" s="48" t="str">
        <f>IF(Account!$F920&lt;&gt;"", DATEVALUE(MID($A920,4,3) &amp; LEFT($A920,3) &amp; RIGHT($A920,4)), "")</f>
        <v/>
      </c>
      <c r="P920" s="49" t="str">
        <f>IFERROR(VLOOKUP($Q920,Selection!$F:$G,2,false))</f>
        <v/>
      </c>
      <c r="Q920" s="50" t="str">
        <f>IF(AND($X920="change",$H920="EUR"),IF(AND($Z920="Crédit",$N920=$N921),$Q921,IF(AND($Z920="Débit",$N920=$N919),$Q919)),IF(OR(AND(OR($E920&lt;&gt;"",$L920=""),$M920&lt;&gt;0),$A920=""),IFERROR(VLOOKUP($E920,Selection!$E:$F,2,false)),IFERROR(VLOOKUP(SUBSTITUTE($I920,"-","",1),$K921:$Q1119,7,false),VLOOKUP($K920,$K921:$Q1119,7,false))))</f>
        <v/>
      </c>
      <c r="R920" s="49" t="str">
        <f t="shared" si="2"/>
        <v/>
      </c>
      <c r="S920" s="51" t="str">
        <f t="shared" si="3"/>
        <v/>
      </c>
      <c r="T920" s="52" t="str">
        <f t="shared" si="4"/>
        <v/>
      </c>
      <c r="U920" s="46" t="str">
        <f t="shared" si="5"/>
        <v/>
      </c>
      <c r="V920" s="53" t="str">
        <f>IFERROR(__xludf.DUMMYFUNCTION(" IF(Account!$F920&lt;&gt;"""", SPLIT(Account!$F920, "" ""), """")"),"")</f>
        <v/>
      </c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</row>
    <row r="921">
      <c r="A921" s="215"/>
      <c r="B921" s="215"/>
      <c r="C921" s="215"/>
      <c r="D921" s="215"/>
      <c r="E921" s="215"/>
      <c r="F921" s="373"/>
      <c r="G921" s="215"/>
      <c r="H921" s="215"/>
      <c r="I921" s="215"/>
      <c r="J921" s="215"/>
      <c r="K921" s="215"/>
      <c r="L921" s="45" t="str">
        <f t="shared" si="1"/>
        <v/>
      </c>
      <c r="M921" s="46" t="str">
        <f>IFERROR(__xludf.DUMMYFUNCTION("IF(Account!$F921&lt;&gt;"""", VALUE(REGEXREPLACE($I921, ""\,"", ""."")), """")"),"")</f>
        <v/>
      </c>
      <c r="N921" s="47" t="str">
        <f>IF(Account!$F921&lt;&gt;"", DATEVALUE(MID($A921,4,3) &amp; LEFT($A921,3) &amp; RIGHT($A921,4)) + TIMEVALUE($B921), "")</f>
        <v/>
      </c>
      <c r="O921" s="48" t="str">
        <f>IF(Account!$F921&lt;&gt;"", DATEVALUE(MID($A921,4,3) &amp; LEFT($A921,3) &amp; RIGHT($A921,4)), "")</f>
        <v/>
      </c>
      <c r="P921" s="49" t="str">
        <f>IFERROR(VLOOKUP($Q921,Selection!$F:$G,2,false))</f>
        <v/>
      </c>
      <c r="Q921" s="50" t="str">
        <f>IF(AND($X921="change",$H921="EUR"),IF(AND($Z921="Crédit",$N921=$N922),$Q922,IF(AND($Z921="Débit",$N921=$N920),$Q920)),IF(OR(AND(OR($E921&lt;&gt;"",$L921=""),$M921&lt;&gt;0),$A921=""),IFERROR(VLOOKUP($E921,Selection!$E:$F,2,false)),IFERROR(VLOOKUP(SUBSTITUTE($I921,"-","",1),$K922:$Q1119,7,false),VLOOKUP($K921,$K922:$Q1119,7,false))))</f>
        <v/>
      </c>
      <c r="R921" s="49" t="str">
        <f t="shared" si="2"/>
        <v/>
      </c>
      <c r="S921" s="51" t="str">
        <f t="shared" si="3"/>
        <v/>
      </c>
      <c r="T921" s="52" t="str">
        <f t="shared" si="4"/>
        <v/>
      </c>
      <c r="U921" s="46" t="str">
        <f t="shared" si="5"/>
        <v/>
      </c>
      <c r="V921" s="53" t="str">
        <f>IFERROR(__xludf.DUMMYFUNCTION(" IF(Account!$F921&lt;&gt;"""", SPLIT(Account!$F921, "" ""), """")"),"")</f>
        <v/>
      </c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</row>
    <row r="922">
      <c r="A922" s="215"/>
      <c r="B922" s="215"/>
      <c r="C922" s="215"/>
      <c r="D922" s="215"/>
      <c r="E922" s="215"/>
      <c r="F922" s="373"/>
      <c r="G922" s="215"/>
      <c r="H922" s="215"/>
      <c r="I922" s="215"/>
      <c r="J922" s="215"/>
      <c r="K922" s="215"/>
      <c r="L922" s="45" t="str">
        <f t="shared" si="1"/>
        <v/>
      </c>
      <c r="M922" s="46" t="str">
        <f>IFERROR(__xludf.DUMMYFUNCTION("IF(Account!$F922&lt;&gt;"""", VALUE(REGEXREPLACE($I922, ""\,"", ""."")), """")"),"")</f>
        <v/>
      </c>
      <c r="N922" s="47" t="str">
        <f>IF(Account!$F922&lt;&gt;"", DATEVALUE(MID($A922,4,3) &amp; LEFT($A922,3) &amp; RIGHT($A922,4)) + TIMEVALUE($B922), "")</f>
        <v/>
      </c>
      <c r="O922" s="48" t="str">
        <f>IF(Account!$F922&lt;&gt;"", DATEVALUE(MID($A922,4,3) &amp; LEFT($A922,3) &amp; RIGHT($A922,4)), "")</f>
        <v/>
      </c>
      <c r="P922" s="49" t="str">
        <f>IFERROR(VLOOKUP($Q922,Selection!$F:$G,2,false))</f>
        <v/>
      </c>
      <c r="Q922" s="50" t="str">
        <f>IF(AND($X922="change",$H922="EUR"),IF(AND($Z922="Crédit",$N922=$N923),$Q923,IF(AND($Z922="Débit",$N922=$N921),$Q921)),IF(OR(AND(OR($E922&lt;&gt;"",$L922=""),$M922&lt;&gt;0),$A922=""),IFERROR(VLOOKUP($E922,Selection!$E:$F,2,false)),IFERROR(VLOOKUP(SUBSTITUTE($I922,"-","",1),$K923:$Q1119,7,false),VLOOKUP($K922,$K923:$Q1119,7,false))))</f>
        <v/>
      </c>
      <c r="R922" s="49" t="str">
        <f t="shared" si="2"/>
        <v/>
      </c>
      <c r="S922" s="51" t="str">
        <f t="shared" si="3"/>
        <v/>
      </c>
      <c r="T922" s="52" t="str">
        <f t="shared" si="4"/>
        <v/>
      </c>
      <c r="U922" s="46" t="str">
        <f t="shared" si="5"/>
        <v/>
      </c>
      <c r="V922" s="53" t="str">
        <f>IFERROR(__xludf.DUMMYFUNCTION(" IF(Account!$F922&lt;&gt;"""", SPLIT(Account!$F922, "" ""), """")"),"")</f>
        <v/>
      </c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</row>
    <row r="923">
      <c r="A923" s="215"/>
      <c r="B923" s="215"/>
      <c r="C923" s="215"/>
      <c r="D923" s="215"/>
      <c r="E923" s="215"/>
      <c r="F923" s="373"/>
      <c r="G923" s="215"/>
      <c r="H923" s="215"/>
      <c r="I923" s="215"/>
      <c r="J923" s="215"/>
      <c r="K923" s="215"/>
      <c r="L923" s="45" t="str">
        <f t="shared" si="1"/>
        <v/>
      </c>
      <c r="M923" s="46" t="str">
        <f>IFERROR(__xludf.DUMMYFUNCTION("IF(Account!$F923&lt;&gt;"""", VALUE(REGEXREPLACE($I923, ""\,"", ""."")), """")"),"")</f>
        <v/>
      </c>
      <c r="N923" s="47" t="str">
        <f>IF(Account!$F923&lt;&gt;"", DATEVALUE(MID($A923,4,3) &amp; LEFT($A923,3) &amp; RIGHT($A923,4)) + TIMEVALUE($B923), "")</f>
        <v/>
      </c>
      <c r="O923" s="48" t="str">
        <f>IF(Account!$F923&lt;&gt;"", DATEVALUE(MID($A923,4,3) &amp; LEFT($A923,3) &amp; RIGHT($A923,4)), "")</f>
        <v/>
      </c>
      <c r="P923" s="49" t="str">
        <f>IFERROR(VLOOKUP($Q923,Selection!$F:$G,2,false))</f>
        <v/>
      </c>
      <c r="Q923" s="50" t="str">
        <f>IF(AND($X923="change",$H923="EUR"),IF(AND($Z923="Crédit",$N923=$N924),$Q924,IF(AND($Z923="Débit",$N923=$N922),$Q922)),IF(OR(AND(OR($E923&lt;&gt;"",$L923=""),$M923&lt;&gt;0),$A923=""),IFERROR(VLOOKUP($E923,Selection!$E:$F,2,false)),IFERROR(VLOOKUP(SUBSTITUTE($I923,"-","",1),$K924:$Q1119,7,false),VLOOKUP($K923,$K924:$Q1119,7,false))))</f>
        <v/>
      </c>
      <c r="R923" s="49" t="str">
        <f t="shared" si="2"/>
        <v/>
      </c>
      <c r="S923" s="51" t="str">
        <f t="shared" si="3"/>
        <v/>
      </c>
      <c r="T923" s="52" t="str">
        <f t="shared" si="4"/>
        <v/>
      </c>
      <c r="U923" s="46" t="str">
        <f t="shared" si="5"/>
        <v/>
      </c>
      <c r="V923" s="53" t="str">
        <f>IFERROR(__xludf.DUMMYFUNCTION(" IF(Account!$F923&lt;&gt;"""", SPLIT(Account!$F923, "" ""), """")"),"")</f>
        <v/>
      </c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</row>
    <row r="924">
      <c r="A924" s="215"/>
      <c r="B924" s="215"/>
      <c r="C924" s="215"/>
      <c r="D924" s="215"/>
      <c r="E924" s="215"/>
      <c r="F924" s="373"/>
      <c r="G924" s="215"/>
      <c r="H924" s="215"/>
      <c r="I924" s="215"/>
      <c r="J924" s="215"/>
      <c r="K924" s="215"/>
      <c r="L924" s="45" t="str">
        <f t="shared" si="1"/>
        <v/>
      </c>
      <c r="M924" s="46" t="str">
        <f>IFERROR(__xludf.DUMMYFUNCTION("IF(Account!$F924&lt;&gt;"""", VALUE(REGEXREPLACE($I924, ""\,"", ""."")), """")"),"")</f>
        <v/>
      </c>
      <c r="N924" s="47" t="str">
        <f>IF(Account!$F924&lt;&gt;"", DATEVALUE(MID($A924,4,3) &amp; LEFT($A924,3) &amp; RIGHT($A924,4)) + TIMEVALUE($B924), "")</f>
        <v/>
      </c>
      <c r="O924" s="48" t="str">
        <f>IF(Account!$F924&lt;&gt;"", DATEVALUE(MID($A924,4,3) &amp; LEFT($A924,3) &amp; RIGHT($A924,4)), "")</f>
        <v/>
      </c>
      <c r="P924" s="49" t="str">
        <f>IFERROR(VLOOKUP($Q924,Selection!$F:$G,2,false))</f>
        <v/>
      </c>
      <c r="Q924" s="50" t="str">
        <f>IF(AND($X924="change",$H924="EUR"),IF(AND($Z924="Crédit",$N924=$N925),$Q925,IF(AND($Z924="Débit",$N924=$N923),$Q923)),IF(OR(AND(OR($E924&lt;&gt;"",$L924=""),$M924&lt;&gt;0),$A924=""),IFERROR(VLOOKUP($E924,Selection!$E:$F,2,false)),IFERROR(VLOOKUP(SUBSTITUTE($I924,"-","",1),$K925:$Q1119,7,false),VLOOKUP($K924,$K925:$Q1119,7,false))))</f>
        <v/>
      </c>
      <c r="R924" s="49" t="str">
        <f t="shared" si="2"/>
        <v/>
      </c>
      <c r="S924" s="51" t="str">
        <f t="shared" si="3"/>
        <v/>
      </c>
      <c r="T924" s="52" t="str">
        <f t="shared" si="4"/>
        <v/>
      </c>
      <c r="U924" s="46" t="str">
        <f t="shared" si="5"/>
        <v/>
      </c>
      <c r="V924" s="53" t="str">
        <f>IFERROR(__xludf.DUMMYFUNCTION(" IF(Account!$F924&lt;&gt;"""", SPLIT(Account!$F924, "" ""), """")"),"")</f>
        <v/>
      </c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</row>
    <row r="925">
      <c r="A925" s="215"/>
      <c r="B925" s="215"/>
      <c r="C925" s="215"/>
      <c r="D925" s="215"/>
      <c r="E925" s="215"/>
      <c r="F925" s="373"/>
      <c r="G925" s="215"/>
      <c r="H925" s="215"/>
      <c r="I925" s="215"/>
      <c r="J925" s="215"/>
      <c r="K925" s="215"/>
      <c r="L925" s="45" t="str">
        <f t="shared" si="1"/>
        <v/>
      </c>
      <c r="M925" s="46" t="str">
        <f>IFERROR(__xludf.DUMMYFUNCTION("IF(Account!$F925&lt;&gt;"""", VALUE(REGEXREPLACE($I925, ""\,"", ""."")), """")"),"")</f>
        <v/>
      </c>
      <c r="N925" s="47" t="str">
        <f>IF(Account!$F925&lt;&gt;"", DATEVALUE(MID($A925,4,3) &amp; LEFT($A925,3) &amp; RIGHT($A925,4)) + TIMEVALUE($B925), "")</f>
        <v/>
      </c>
      <c r="O925" s="48" t="str">
        <f>IF(Account!$F925&lt;&gt;"", DATEVALUE(MID($A925,4,3) &amp; LEFT($A925,3) &amp; RIGHT($A925,4)), "")</f>
        <v/>
      </c>
      <c r="P925" s="49" t="str">
        <f>IFERROR(VLOOKUP($Q925,Selection!$F:$G,2,false))</f>
        <v/>
      </c>
      <c r="Q925" s="50" t="str">
        <f>IF(AND($X925="change",$H925="EUR"),IF(AND($Z925="Crédit",$N925=$N926),$Q926,IF(AND($Z925="Débit",$N925=$N924),$Q924)),IF(OR(AND(OR($E925&lt;&gt;"",$L925=""),$M925&lt;&gt;0),$A925=""),IFERROR(VLOOKUP($E925,Selection!$E:$F,2,false)),IFERROR(VLOOKUP(SUBSTITUTE($I925,"-","",1),$K926:$Q1119,7,false),VLOOKUP($K925,$K926:$Q1119,7,false))))</f>
        <v/>
      </c>
      <c r="R925" s="49" t="str">
        <f t="shared" si="2"/>
        <v/>
      </c>
      <c r="S925" s="51" t="str">
        <f t="shared" si="3"/>
        <v/>
      </c>
      <c r="T925" s="52" t="str">
        <f t="shared" si="4"/>
        <v/>
      </c>
      <c r="U925" s="46" t="str">
        <f t="shared" si="5"/>
        <v/>
      </c>
      <c r="V925" s="53" t="str">
        <f>IFERROR(__xludf.DUMMYFUNCTION(" IF(Account!$F925&lt;&gt;"""", SPLIT(Account!$F925, "" ""), """")"),"")</f>
        <v/>
      </c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</row>
    <row r="926">
      <c r="A926" s="215"/>
      <c r="B926" s="215"/>
      <c r="C926" s="215"/>
      <c r="D926" s="215"/>
      <c r="E926" s="215"/>
      <c r="F926" s="373"/>
      <c r="G926" s="215"/>
      <c r="H926" s="215"/>
      <c r="I926" s="215"/>
      <c r="J926" s="215"/>
      <c r="K926" s="215"/>
      <c r="L926" s="45" t="str">
        <f t="shared" si="1"/>
        <v/>
      </c>
      <c r="M926" s="46" t="str">
        <f>IFERROR(__xludf.DUMMYFUNCTION("IF(Account!$F926&lt;&gt;"""", VALUE(REGEXREPLACE($I926, ""\,"", ""."")), """")"),"")</f>
        <v/>
      </c>
      <c r="N926" s="47" t="str">
        <f>IF(Account!$F926&lt;&gt;"", DATEVALUE(MID($A926,4,3) &amp; LEFT($A926,3) &amp; RIGHT($A926,4)) + TIMEVALUE($B926), "")</f>
        <v/>
      </c>
      <c r="O926" s="48" t="str">
        <f>IF(Account!$F926&lt;&gt;"", DATEVALUE(MID($A926,4,3) &amp; LEFT($A926,3) &amp; RIGHT($A926,4)), "")</f>
        <v/>
      </c>
      <c r="P926" s="49" t="str">
        <f>IFERROR(VLOOKUP($Q926,Selection!$F:$G,2,false))</f>
        <v/>
      </c>
      <c r="Q926" s="50" t="str">
        <f>IF(AND($X926="change",$H926="EUR"),IF(AND($Z926="Crédit",$N926=$N927),$Q927,IF(AND($Z926="Débit",$N926=$N925),$Q925)),IF(OR(AND(OR($E926&lt;&gt;"",$L926=""),$M926&lt;&gt;0),$A926=""),IFERROR(VLOOKUP($E926,Selection!$E:$F,2,false)),IFERROR(VLOOKUP(SUBSTITUTE($I926,"-","",1),$K927:$Q1119,7,false),VLOOKUP($K926,$K927:$Q1119,7,false))))</f>
        <v/>
      </c>
      <c r="R926" s="49" t="str">
        <f t="shared" si="2"/>
        <v/>
      </c>
      <c r="S926" s="51" t="str">
        <f t="shared" si="3"/>
        <v/>
      </c>
      <c r="T926" s="52" t="str">
        <f t="shared" si="4"/>
        <v/>
      </c>
      <c r="U926" s="46" t="str">
        <f t="shared" si="5"/>
        <v/>
      </c>
      <c r="V926" s="53" t="str">
        <f>IFERROR(__xludf.DUMMYFUNCTION(" IF(Account!$F926&lt;&gt;"""", SPLIT(Account!$F926, "" ""), """")"),"")</f>
        <v/>
      </c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</row>
    <row r="927">
      <c r="A927" s="215"/>
      <c r="B927" s="215"/>
      <c r="C927" s="215"/>
      <c r="D927" s="215"/>
      <c r="E927" s="215"/>
      <c r="F927" s="373"/>
      <c r="G927" s="215"/>
      <c r="H927" s="215"/>
      <c r="I927" s="215"/>
      <c r="J927" s="215"/>
      <c r="K927" s="215"/>
      <c r="L927" s="45" t="str">
        <f t="shared" si="1"/>
        <v/>
      </c>
      <c r="M927" s="46" t="str">
        <f>IFERROR(__xludf.DUMMYFUNCTION("IF(Account!$F927&lt;&gt;"""", VALUE(REGEXREPLACE($I927, ""\,"", ""."")), """")"),"")</f>
        <v/>
      </c>
      <c r="N927" s="47" t="str">
        <f>IF(Account!$F927&lt;&gt;"", DATEVALUE(MID($A927,4,3) &amp; LEFT($A927,3) &amp; RIGHT($A927,4)) + TIMEVALUE($B927), "")</f>
        <v/>
      </c>
      <c r="O927" s="48" t="str">
        <f>IF(Account!$F927&lt;&gt;"", DATEVALUE(MID($A927,4,3) &amp; LEFT($A927,3) &amp; RIGHT($A927,4)), "")</f>
        <v/>
      </c>
      <c r="P927" s="49" t="str">
        <f>IFERROR(VLOOKUP($Q927,Selection!$F:$G,2,false))</f>
        <v/>
      </c>
      <c r="Q927" s="50" t="str">
        <f>IF(AND($X927="change",$H927="EUR"),IF(AND($Z927="Crédit",$N927=$N928),$Q928,IF(AND($Z927="Débit",$N927=$N926),$Q926)),IF(OR(AND(OR($E927&lt;&gt;"",$L927=""),$M927&lt;&gt;0),$A927=""),IFERROR(VLOOKUP($E927,Selection!$E:$F,2,false)),IFERROR(VLOOKUP(SUBSTITUTE($I927,"-","",1),$K928:$Q1119,7,false),VLOOKUP($K927,$K928:$Q1119,7,false))))</f>
        <v/>
      </c>
      <c r="R927" s="49" t="str">
        <f t="shared" si="2"/>
        <v/>
      </c>
      <c r="S927" s="51" t="str">
        <f t="shared" si="3"/>
        <v/>
      </c>
      <c r="T927" s="52" t="str">
        <f t="shared" si="4"/>
        <v/>
      </c>
      <c r="U927" s="46" t="str">
        <f t="shared" si="5"/>
        <v/>
      </c>
      <c r="V927" s="53" t="str">
        <f>IFERROR(__xludf.DUMMYFUNCTION(" IF(Account!$F927&lt;&gt;"""", SPLIT(Account!$F927, "" ""), """")"),"")</f>
        <v/>
      </c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</row>
    <row r="928">
      <c r="A928" s="215"/>
      <c r="B928" s="215"/>
      <c r="C928" s="215"/>
      <c r="D928" s="215"/>
      <c r="E928" s="215"/>
      <c r="F928" s="373"/>
      <c r="G928" s="215"/>
      <c r="H928" s="215"/>
      <c r="I928" s="215"/>
      <c r="J928" s="215"/>
      <c r="K928" s="215"/>
      <c r="L928" s="45" t="str">
        <f t="shared" si="1"/>
        <v/>
      </c>
      <c r="M928" s="46" t="str">
        <f>IFERROR(__xludf.DUMMYFUNCTION("IF(Account!$F928&lt;&gt;"""", VALUE(REGEXREPLACE($I928, ""\,"", ""."")), """")"),"")</f>
        <v/>
      </c>
      <c r="N928" s="47" t="str">
        <f>IF(Account!$F928&lt;&gt;"", DATEVALUE(MID($A928,4,3) &amp; LEFT($A928,3) &amp; RIGHT($A928,4)) + TIMEVALUE($B928), "")</f>
        <v/>
      </c>
      <c r="O928" s="48" t="str">
        <f>IF(Account!$F928&lt;&gt;"", DATEVALUE(MID($A928,4,3) &amp; LEFT($A928,3) &amp; RIGHT($A928,4)), "")</f>
        <v/>
      </c>
      <c r="P928" s="49" t="str">
        <f>IFERROR(VLOOKUP($Q928,Selection!$F:$G,2,false))</f>
        <v/>
      </c>
      <c r="Q928" s="50" t="str">
        <f>IF(AND($X928="change",$H928="EUR"),IF(AND($Z928="Crédit",$N928=$N929),$Q929,IF(AND($Z928="Débit",$N928=$N927),$Q927)),IF(OR(AND(OR($E928&lt;&gt;"",$L928=""),$M928&lt;&gt;0),$A928=""),IFERROR(VLOOKUP($E928,Selection!$E:$F,2,false)),IFERROR(VLOOKUP(SUBSTITUTE($I928,"-","",1),$K929:$Q1119,7,false),VLOOKUP($K928,$K929:$Q1119,7,false))))</f>
        <v/>
      </c>
      <c r="R928" s="49" t="str">
        <f t="shared" si="2"/>
        <v/>
      </c>
      <c r="S928" s="51" t="str">
        <f t="shared" si="3"/>
        <v/>
      </c>
      <c r="T928" s="52" t="str">
        <f t="shared" si="4"/>
        <v/>
      </c>
      <c r="U928" s="46" t="str">
        <f t="shared" si="5"/>
        <v/>
      </c>
      <c r="V928" s="53" t="str">
        <f>IFERROR(__xludf.DUMMYFUNCTION(" IF(Account!$F928&lt;&gt;"""", SPLIT(Account!$F928, "" ""), """")"),"")</f>
        <v/>
      </c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</row>
    <row r="929">
      <c r="A929" s="215"/>
      <c r="B929" s="215"/>
      <c r="C929" s="215"/>
      <c r="D929" s="215"/>
      <c r="E929" s="215"/>
      <c r="F929" s="373"/>
      <c r="G929" s="215"/>
      <c r="H929" s="215"/>
      <c r="I929" s="215"/>
      <c r="J929" s="215"/>
      <c r="K929" s="215"/>
      <c r="L929" s="45" t="str">
        <f t="shared" si="1"/>
        <v/>
      </c>
      <c r="M929" s="46" t="str">
        <f>IFERROR(__xludf.DUMMYFUNCTION("IF(Account!$F929&lt;&gt;"""", VALUE(REGEXREPLACE($I929, ""\,"", ""."")), """")"),"")</f>
        <v/>
      </c>
      <c r="N929" s="47" t="str">
        <f>IF(Account!$F929&lt;&gt;"", DATEVALUE(MID($A929,4,3) &amp; LEFT($A929,3) &amp; RIGHT($A929,4)) + TIMEVALUE($B929), "")</f>
        <v/>
      </c>
      <c r="O929" s="48" t="str">
        <f>IF(Account!$F929&lt;&gt;"", DATEVALUE(MID($A929,4,3) &amp; LEFT($A929,3) &amp; RIGHT($A929,4)), "")</f>
        <v/>
      </c>
      <c r="P929" s="49" t="str">
        <f>IFERROR(VLOOKUP($Q929,Selection!$F:$G,2,false))</f>
        <v/>
      </c>
      <c r="Q929" s="50" t="str">
        <f>IF(AND($X929="change",$H929="EUR"),IF(AND($Z929="Crédit",$N929=$N930),$Q930,IF(AND($Z929="Débit",$N929=$N928),$Q928)),IF(OR(AND(OR($E929&lt;&gt;"",$L929=""),$M929&lt;&gt;0),$A929=""),IFERROR(VLOOKUP($E929,Selection!$E:$F,2,false)),IFERROR(VLOOKUP(SUBSTITUTE($I929,"-","",1),$K930:$Q1119,7,false),VLOOKUP($K929,$K930:$Q1119,7,false))))</f>
        <v/>
      </c>
      <c r="R929" s="49" t="str">
        <f t="shared" si="2"/>
        <v/>
      </c>
      <c r="S929" s="51" t="str">
        <f t="shared" si="3"/>
        <v/>
      </c>
      <c r="T929" s="52" t="str">
        <f t="shared" si="4"/>
        <v/>
      </c>
      <c r="U929" s="46" t="str">
        <f t="shared" si="5"/>
        <v/>
      </c>
      <c r="V929" s="53" t="str">
        <f>IFERROR(__xludf.DUMMYFUNCTION(" IF(Account!$F929&lt;&gt;"""", SPLIT(Account!$F929, "" ""), """")"),"")</f>
        <v/>
      </c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</row>
    <row r="930">
      <c r="A930" s="215"/>
      <c r="B930" s="215"/>
      <c r="C930" s="215"/>
      <c r="D930" s="215"/>
      <c r="E930" s="215"/>
      <c r="F930" s="373"/>
      <c r="G930" s="215"/>
      <c r="H930" s="215"/>
      <c r="I930" s="215"/>
      <c r="J930" s="215"/>
      <c r="K930" s="215"/>
      <c r="L930" s="45" t="str">
        <f t="shared" si="1"/>
        <v/>
      </c>
      <c r="M930" s="46" t="str">
        <f>IFERROR(__xludf.DUMMYFUNCTION("IF(Account!$F930&lt;&gt;"""", VALUE(REGEXREPLACE($I930, ""\,"", ""."")), """")"),"")</f>
        <v/>
      </c>
      <c r="N930" s="47" t="str">
        <f>IF(Account!$F930&lt;&gt;"", DATEVALUE(MID($A930,4,3) &amp; LEFT($A930,3) &amp; RIGHT($A930,4)) + TIMEVALUE($B930), "")</f>
        <v/>
      </c>
      <c r="O930" s="48" t="str">
        <f>IF(Account!$F930&lt;&gt;"", DATEVALUE(MID($A930,4,3) &amp; LEFT($A930,3) &amp; RIGHT($A930,4)), "")</f>
        <v/>
      </c>
      <c r="P930" s="49" t="str">
        <f>IFERROR(VLOOKUP($Q930,Selection!$F:$G,2,false))</f>
        <v/>
      </c>
      <c r="Q930" s="50" t="str">
        <f>IF(AND($X930="change",$H930="EUR"),IF(AND($Z930="Crédit",$N930=$N931),$Q931,IF(AND($Z930="Débit",$N930=$N929),$Q929)),IF(OR(AND(OR($E930&lt;&gt;"",$L930=""),$M930&lt;&gt;0),$A930=""),IFERROR(VLOOKUP($E930,Selection!$E:$F,2,false)),IFERROR(VLOOKUP(SUBSTITUTE($I930,"-","",1),$K931:$Q1119,7,false),VLOOKUP($K930,$K931:$Q1119,7,false))))</f>
        <v/>
      </c>
      <c r="R930" s="49" t="str">
        <f t="shared" si="2"/>
        <v/>
      </c>
      <c r="S930" s="51" t="str">
        <f t="shared" si="3"/>
        <v/>
      </c>
      <c r="T930" s="52" t="str">
        <f t="shared" si="4"/>
        <v/>
      </c>
      <c r="U930" s="46" t="str">
        <f t="shared" si="5"/>
        <v/>
      </c>
      <c r="V930" s="53" t="str">
        <f>IFERROR(__xludf.DUMMYFUNCTION(" IF(Account!$F930&lt;&gt;"""", SPLIT(Account!$F930, "" ""), """")"),"")</f>
        <v/>
      </c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</row>
    <row r="931">
      <c r="A931" s="215"/>
      <c r="B931" s="215"/>
      <c r="C931" s="215"/>
      <c r="D931" s="215"/>
      <c r="E931" s="215"/>
      <c r="F931" s="373"/>
      <c r="G931" s="215"/>
      <c r="H931" s="215"/>
      <c r="I931" s="215"/>
      <c r="J931" s="215"/>
      <c r="K931" s="215"/>
      <c r="L931" s="45" t="str">
        <f t="shared" si="1"/>
        <v/>
      </c>
      <c r="M931" s="46" t="str">
        <f>IFERROR(__xludf.DUMMYFUNCTION("IF(Account!$F931&lt;&gt;"""", VALUE(REGEXREPLACE($I931, ""\,"", ""."")), """")"),"")</f>
        <v/>
      </c>
      <c r="N931" s="47" t="str">
        <f>IF(Account!$F931&lt;&gt;"", DATEVALUE(MID($A931,4,3) &amp; LEFT($A931,3) &amp; RIGHT($A931,4)) + TIMEVALUE($B931), "")</f>
        <v/>
      </c>
      <c r="O931" s="48" t="str">
        <f>IF(Account!$F931&lt;&gt;"", DATEVALUE(MID($A931,4,3) &amp; LEFT($A931,3) &amp; RIGHT($A931,4)), "")</f>
        <v/>
      </c>
      <c r="P931" s="49" t="str">
        <f>IFERROR(VLOOKUP($Q931,Selection!$F:$G,2,false))</f>
        <v/>
      </c>
      <c r="Q931" s="50" t="str">
        <f>IF(AND($X931="change",$H931="EUR"),IF(AND($Z931="Crédit",$N931=$N932),$Q932,IF(AND($Z931="Débit",$N931=$N930),$Q930)),IF(OR(AND(OR($E931&lt;&gt;"",$L931=""),$M931&lt;&gt;0),$A931=""),IFERROR(VLOOKUP($E931,Selection!$E:$F,2,false)),IFERROR(VLOOKUP(SUBSTITUTE($I931,"-","",1),$K932:$Q1119,7,false),VLOOKUP($K931,$K932:$Q1119,7,false))))</f>
        <v/>
      </c>
      <c r="R931" s="49" t="str">
        <f t="shared" si="2"/>
        <v/>
      </c>
      <c r="S931" s="51" t="str">
        <f t="shared" si="3"/>
        <v/>
      </c>
      <c r="T931" s="52" t="str">
        <f t="shared" si="4"/>
        <v/>
      </c>
      <c r="U931" s="46" t="str">
        <f t="shared" si="5"/>
        <v/>
      </c>
      <c r="V931" s="53" t="str">
        <f>IFERROR(__xludf.DUMMYFUNCTION(" IF(Account!$F931&lt;&gt;"""", SPLIT(Account!$F931, "" ""), """")"),"")</f>
        <v/>
      </c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</row>
    <row r="932">
      <c r="A932" s="215"/>
      <c r="B932" s="215"/>
      <c r="C932" s="215"/>
      <c r="D932" s="215"/>
      <c r="E932" s="215"/>
      <c r="F932" s="373"/>
      <c r="G932" s="215"/>
      <c r="H932" s="215"/>
      <c r="I932" s="215"/>
      <c r="J932" s="215"/>
      <c r="K932" s="215"/>
      <c r="L932" s="45" t="str">
        <f t="shared" si="1"/>
        <v/>
      </c>
      <c r="M932" s="46" t="str">
        <f>IFERROR(__xludf.DUMMYFUNCTION("IF(Account!$F932&lt;&gt;"""", VALUE(REGEXREPLACE($I932, ""\,"", ""."")), """")"),"")</f>
        <v/>
      </c>
      <c r="N932" s="47" t="str">
        <f>IF(Account!$F932&lt;&gt;"", DATEVALUE(MID($A932,4,3) &amp; LEFT($A932,3) &amp; RIGHT($A932,4)) + TIMEVALUE($B932), "")</f>
        <v/>
      </c>
      <c r="O932" s="48" t="str">
        <f>IF(Account!$F932&lt;&gt;"", DATEVALUE(MID($A932,4,3) &amp; LEFT($A932,3) &amp; RIGHT($A932,4)), "")</f>
        <v/>
      </c>
      <c r="P932" s="49" t="str">
        <f>IFERROR(VLOOKUP($Q932,Selection!$F:$G,2,false))</f>
        <v/>
      </c>
      <c r="Q932" s="50" t="str">
        <f>IF(AND($X932="change",$H932="EUR"),IF(AND($Z932="Crédit",$N932=$N933),$Q933,IF(AND($Z932="Débit",$N932=$N931),$Q931)),IF(OR(AND(OR($E932&lt;&gt;"",$L932=""),$M932&lt;&gt;0),$A932=""),IFERROR(VLOOKUP($E932,Selection!$E:$F,2,false)),IFERROR(VLOOKUP(SUBSTITUTE($I932,"-","",1),$K933:$Q1119,7,false),VLOOKUP($K932,$K933:$Q1119,7,false))))</f>
        <v/>
      </c>
      <c r="R932" s="49" t="str">
        <f t="shared" si="2"/>
        <v/>
      </c>
      <c r="S932" s="51" t="str">
        <f t="shared" si="3"/>
        <v/>
      </c>
      <c r="T932" s="52" t="str">
        <f t="shared" si="4"/>
        <v/>
      </c>
      <c r="U932" s="46" t="str">
        <f t="shared" si="5"/>
        <v/>
      </c>
      <c r="V932" s="53" t="str">
        <f>IFERROR(__xludf.DUMMYFUNCTION(" IF(Account!$F932&lt;&gt;"""", SPLIT(Account!$F932, "" ""), """")"),"")</f>
        <v/>
      </c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</row>
    <row r="933">
      <c r="A933" s="215"/>
      <c r="B933" s="215"/>
      <c r="C933" s="215"/>
      <c r="D933" s="215"/>
      <c r="E933" s="215"/>
      <c r="F933" s="373"/>
      <c r="G933" s="215"/>
      <c r="H933" s="215"/>
      <c r="I933" s="215"/>
      <c r="J933" s="215"/>
      <c r="K933" s="215"/>
      <c r="L933" s="45" t="str">
        <f t="shared" si="1"/>
        <v/>
      </c>
      <c r="M933" s="46" t="str">
        <f>IFERROR(__xludf.DUMMYFUNCTION("IF(Account!$F933&lt;&gt;"""", VALUE(REGEXREPLACE($I933, ""\,"", ""."")), """")"),"")</f>
        <v/>
      </c>
      <c r="N933" s="47" t="str">
        <f>IF(Account!$F933&lt;&gt;"", DATEVALUE(MID($A933,4,3) &amp; LEFT($A933,3) &amp; RIGHT($A933,4)) + TIMEVALUE($B933), "")</f>
        <v/>
      </c>
      <c r="O933" s="48" t="str">
        <f>IF(Account!$F933&lt;&gt;"", DATEVALUE(MID($A933,4,3) &amp; LEFT($A933,3) &amp; RIGHT($A933,4)), "")</f>
        <v/>
      </c>
      <c r="P933" s="49" t="str">
        <f>IFERROR(VLOOKUP($Q933,Selection!$F:$G,2,false))</f>
        <v/>
      </c>
      <c r="Q933" s="50" t="str">
        <f>IF(AND($X933="change",$H933="EUR"),IF(AND($Z933="Crédit",$N933=$N934),$Q934,IF(AND($Z933="Débit",$N933=$N932),$Q932)),IF(OR(AND(OR($E933&lt;&gt;"",$L933=""),$M933&lt;&gt;0),$A933=""),IFERROR(VLOOKUP($E933,Selection!$E:$F,2,false)),IFERROR(VLOOKUP(SUBSTITUTE($I933,"-","",1),$K934:$Q1119,7,false),VLOOKUP($K933,$K934:$Q1119,7,false))))</f>
        <v/>
      </c>
      <c r="R933" s="49" t="str">
        <f t="shared" si="2"/>
        <v/>
      </c>
      <c r="S933" s="51" t="str">
        <f t="shared" si="3"/>
        <v/>
      </c>
      <c r="T933" s="52" t="str">
        <f t="shared" si="4"/>
        <v/>
      </c>
      <c r="U933" s="46" t="str">
        <f t="shared" si="5"/>
        <v/>
      </c>
      <c r="V933" s="53" t="str">
        <f>IFERROR(__xludf.DUMMYFUNCTION(" IF(Account!$F933&lt;&gt;"""", SPLIT(Account!$F933, "" ""), """")"),"")</f>
        <v/>
      </c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</row>
    <row r="934">
      <c r="A934" s="215"/>
      <c r="B934" s="215"/>
      <c r="C934" s="215"/>
      <c r="D934" s="215"/>
      <c r="E934" s="215"/>
      <c r="F934" s="373"/>
      <c r="G934" s="215"/>
      <c r="H934" s="215"/>
      <c r="I934" s="215"/>
      <c r="J934" s="215"/>
      <c r="K934" s="215"/>
      <c r="L934" s="45" t="str">
        <f t="shared" si="1"/>
        <v/>
      </c>
      <c r="M934" s="46" t="str">
        <f>IFERROR(__xludf.DUMMYFUNCTION("IF(Account!$F934&lt;&gt;"""", VALUE(REGEXREPLACE($I934, ""\,"", ""."")), """")"),"")</f>
        <v/>
      </c>
      <c r="N934" s="47" t="str">
        <f>IF(Account!$F934&lt;&gt;"", DATEVALUE(MID($A934,4,3) &amp; LEFT($A934,3) &amp; RIGHT($A934,4)) + TIMEVALUE($B934), "")</f>
        <v/>
      </c>
      <c r="O934" s="48" t="str">
        <f>IF(Account!$F934&lt;&gt;"", DATEVALUE(MID($A934,4,3) &amp; LEFT($A934,3) &amp; RIGHT($A934,4)), "")</f>
        <v/>
      </c>
      <c r="P934" s="49" t="str">
        <f>IFERROR(VLOOKUP($Q934,Selection!$F:$G,2,false))</f>
        <v/>
      </c>
      <c r="Q934" s="50" t="str">
        <f>IF(AND($X934="change",$H934="EUR"),IF(AND($Z934="Crédit",$N934=$N935),$Q935,IF(AND($Z934="Débit",$N934=$N933),$Q933)),IF(OR(AND(OR($E934&lt;&gt;"",$L934=""),$M934&lt;&gt;0),$A934=""),IFERROR(VLOOKUP($E934,Selection!$E:$F,2,false)),IFERROR(VLOOKUP(SUBSTITUTE($I934,"-","",1),$K935:$Q1119,7,false),VLOOKUP($K934,$K935:$Q1119,7,false))))</f>
        <v/>
      </c>
      <c r="R934" s="49" t="str">
        <f t="shared" si="2"/>
        <v/>
      </c>
      <c r="S934" s="51" t="str">
        <f t="shared" si="3"/>
        <v/>
      </c>
      <c r="T934" s="52" t="str">
        <f t="shared" si="4"/>
        <v/>
      </c>
      <c r="U934" s="46" t="str">
        <f t="shared" si="5"/>
        <v/>
      </c>
      <c r="V934" s="53" t="str">
        <f>IFERROR(__xludf.DUMMYFUNCTION(" IF(Account!$F934&lt;&gt;"""", SPLIT(Account!$F934, "" ""), """")"),"")</f>
        <v/>
      </c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</row>
    <row r="935">
      <c r="A935" s="215"/>
      <c r="B935" s="215"/>
      <c r="C935" s="215"/>
      <c r="D935" s="215"/>
      <c r="E935" s="215"/>
      <c r="F935" s="373"/>
      <c r="G935" s="215"/>
      <c r="H935" s="215"/>
      <c r="I935" s="215"/>
      <c r="J935" s="215"/>
      <c r="K935" s="215"/>
      <c r="L935" s="45" t="str">
        <f t="shared" si="1"/>
        <v/>
      </c>
      <c r="M935" s="46" t="str">
        <f>IFERROR(__xludf.DUMMYFUNCTION("IF(Account!$F935&lt;&gt;"""", VALUE(REGEXREPLACE($I935, ""\,"", ""."")), """")"),"")</f>
        <v/>
      </c>
      <c r="N935" s="47" t="str">
        <f>IF(Account!$F935&lt;&gt;"", DATEVALUE(MID($A935,4,3) &amp; LEFT($A935,3) &amp; RIGHT($A935,4)) + TIMEVALUE($B935), "")</f>
        <v/>
      </c>
      <c r="O935" s="48" t="str">
        <f>IF(Account!$F935&lt;&gt;"", DATEVALUE(MID($A935,4,3) &amp; LEFT($A935,3) &amp; RIGHT($A935,4)), "")</f>
        <v/>
      </c>
      <c r="P935" s="49" t="str">
        <f>IFERROR(VLOOKUP($Q935,Selection!$F:$G,2,false))</f>
        <v/>
      </c>
      <c r="Q935" s="50" t="str">
        <f>IF(AND($X935="change",$H935="EUR"),IF(AND($Z935="Crédit",$N935=$N936),$Q936,IF(AND($Z935="Débit",$N935=$N934),$Q934)),IF(OR(AND(OR($E935&lt;&gt;"",$L935=""),$M935&lt;&gt;0),$A935=""),IFERROR(VLOOKUP($E935,Selection!$E:$F,2,false)),IFERROR(VLOOKUP(SUBSTITUTE($I935,"-","",1),$K936:$Q1119,7,false),VLOOKUP($K935,$K936:$Q1119,7,false))))</f>
        <v/>
      </c>
      <c r="R935" s="49" t="str">
        <f t="shared" si="2"/>
        <v/>
      </c>
      <c r="S935" s="51" t="str">
        <f t="shared" si="3"/>
        <v/>
      </c>
      <c r="T935" s="52" t="str">
        <f t="shared" si="4"/>
        <v/>
      </c>
      <c r="U935" s="46" t="str">
        <f t="shared" si="5"/>
        <v/>
      </c>
      <c r="V935" s="53" t="str">
        <f>IFERROR(__xludf.DUMMYFUNCTION(" IF(Account!$F935&lt;&gt;"""", SPLIT(Account!$F935, "" ""), """")"),"")</f>
        <v/>
      </c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</row>
    <row r="936">
      <c r="A936" s="215"/>
      <c r="B936" s="215"/>
      <c r="C936" s="215"/>
      <c r="D936" s="215"/>
      <c r="E936" s="215"/>
      <c r="F936" s="373"/>
      <c r="G936" s="215"/>
      <c r="H936" s="215"/>
      <c r="I936" s="215"/>
      <c r="J936" s="215"/>
      <c r="K936" s="215"/>
      <c r="L936" s="45" t="str">
        <f t="shared" si="1"/>
        <v/>
      </c>
      <c r="M936" s="46" t="str">
        <f>IFERROR(__xludf.DUMMYFUNCTION("IF(Account!$F936&lt;&gt;"""", VALUE(REGEXREPLACE($I936, ""\,"", ""."")), """")"),"")</f>
        <v/>
      </c>
      <c r="N936" s="47" t="str">
        <f>IF(Account!$F936&lt;&gt;"", DATEVALUE(MID($A936,4,3) &amp; LEFT($A936,3) &amp; RIGHT($A936,4)) + TIMEVALUE($B936), "")</f>
        <v/>
      </c>
      <c r="O936" s="48" t="str">
        <f>IF(Account!$F936&lt;&gt;"", DATEVALUE(MID($A936,4,3) &amp; LEFT($A936,3) &amp; RIGHT($A936,4)), "")</f>
        <v/>
      </c>
      <c r="P936" s="49" t="str">
        <f>IFERROR(VLOOKUP($Q936,Selection!$F:$G,2,false))</f>
        <v/>
      </c>
      <c r="Q936" s="50" t="str">
        <f>IF(AND($X936="change",$H936="EUR"),IF(AND($Z936="Crédit",$N936=$N937),$Q937,IF(AND($Z936="Débit",$N936=$N935),$Q935)),IF(OR(AND(OR($E936&lt;&gt;"",$L936=""),$M936&lt;&gt;0),$A936=""),IFERROR(VLOOKUP($E936,Selection!$E:$F,2,false)),IFERROR(VLOOKUP(SUBSTITUTE($I936,"-","",1),$K937:$Q1119,7,false),VLOOKUP($K936,$K937:$Q1119,7,false))))</f>
        <v/>
      </c>
      <c r="R936" s="49" t="str">
        <f t="shared" si="2"/>
        <v/>
      </c>
      <c r="S936" s="51" t="str">
        <f t="shared" si="3"/>
        <v/>
      </c>
      <c r="T936" s="52" t="str">
        <f t="shared" si="4"/>
        <v/>
      </c>
      <c r="U936" s="46" t="str">
        <f t="shared" si="5"/>
        <v/>
      </c>
      <c r="V936" s="53" t="str">
        <f>IFERROR(__xludf.DUMMYFUNCTION(" IF(Account!$F936&lt;&gt;"""", SPLIT(Account!$F936, "" ""), """")"),"")</f>
        <v/>
      </c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</row>
    <row r="937">
      <c r="A937" s="215"/>
      <c r="B937" s="215"/>
      <c r="C937" s="215"/>
      <c r="D937" s="215"/>
      <c r="E937" s="215"/>
      <c r="F937" s="373"/>
      <c r="G937" s="215"/>
      <c r="H937" s="215"/>
      <c r="I937" s="215"/>
      <c r="J937" s="215"/>
      <c r="K937" s="215"/>
      <c r="L937" s="45" t="str">
        <f t="shared" si="1"/>
        <v/>
      </c>
      <c r="M937" s="46" t="str">
        <f>IFERROR(__xludf.DUMMYFUNCTION("IF(Account!$F937&lt;&gt;"""", VALUE(REGEXREPLACE($I937, ""\,"", ""."")), """")"),"")</f>
        <v/>
      </c>
      <c r="N937" s="47" t="str">
        <f>IF(Account!$F937&lt;&gt;"", DATEVALUE(MID($A937,4,3) &amp; LEFT($A937,3) &amp; RIGHT($A937,4)) + TIMEVALUE($B937), "")</f>
        <v/>
      </c>
      <c r="O937" s="48" t="str">
        <f>IF(Account!$F937&lt;&gt;"", DATEVALUE(MID($A937,4,3) &amp; LEFT($A937,3) &amp; RIGHT($A937,4)), "")</f>
        <v/>
      </c>
      <c r="P937" s="49" t="str">
        <f>IFERROR(VLOOKUP($Q937,Selection!$F:$G,2,false))</f>
        <v/>
      </c>
      <c r="Q937" s="50" t="str">
        <f>IF(AND($X937="change",$H937="EUR"),IF(AND($Z937="Crédit",$N937=$N938),$Q938,IF(AND($Z937="Débit",$N937=$N936),$Q936)),IF(OR(AND(OR($E937&lt;&gt;"",$L937=""),$M937&lt;&gt;0),$A937=""),IFERROR(VLOOKUP($E937,Selection!$E:$F,2,false)),IFERROR(VLOOKUP(SUBSTITUTE($I937,"-","",1),$K938:$Q1119,7,false),VLOOKUP($K937,$K938:$Q1119,7,false))))</f>
        <v/>
      </c>
      <c r="R937" s="49" t="str">
        <f t="shared" si="2"/>
        <v/>
      </c>
      <c r="S937" s="51" t="str">
        <f t="shared" si="3"/>
        <v/>
      </c>
      <c r="T937" s="52" t="str">
        <f t="shared" si="4"/>
        <v/>
      </c>
      <c r="U937" s="46" t="str">
        <f t="shared" si="5"/>
        <v/>
      </c>
      <c r="V937" s="53" t="str">
        <f>IFERROR(__xludf.DUMMYFUNCTION(" IF(Account!$F937&lt;&gt;"""", SPLIT(Account!$F937, "" ""), """")"),"")</f>
        <v/>
      </c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</row>
    <row r="938">
      <c r="A938" s="215"/>
      <c r="B938" s="215"/>
      <c r="C938" s="215"/>
      <c r="D938" s="215"/>
      <c r="E938" s="215"/>
      <c r="F938" s="373"/>
      <c r="G938" s="215"/>
      <c r="H938" s="215"/>
      <c r="I938" s="215"/>
      <c r="J938" s="215"/>
      <c r="K938" s="215"/>
      <c r="L938" s="45" t="str">
        <f t="shared" si="1"/>
        <v/>
      </c>
      <c r="M938" s="46" t="str">
        <f>IFERROR(__xludf.DUMMYFUNCTION("IF(Account!$F938&lt;&gt;"""", VALUE(REGEXREPLACE($I938, ""\,"", ""."")), """")"),"")</f>
        <v/>
      </c>
      <c r="N938" s="47" t="str">
        <f>IF(Account!$F938&lt;&gt;"", DATEVALUE(MID($A938,4,3) &amp; LEFT($A938,3) &amp; RIGHT($A938,4)) + TIMEVALUE($B938), "")</f>
        <v/>
      </c>
      <c r="O938" s="48" t="str">
        <f>IF(Account!$F938&lt;&gt;"", DATEVALUE(MID($A938,4,3) &amp; LEFT($A938,3) &amp; RIGHT($A938,4)), "")</f>
        <v/>
      </c>
      <c r="P938" s="49" t="str">
        <f>IFERROR(VLOOKUP($Q938,Selection!$F:$G,2,false))</f>
        <v/>
      </c>
      <c r="Q938" s="50" t="str">
        <f>IF(AND($X938="change",$H938="EUR"),IF(AND($Z938="Crédit",$N938=$N939),$Q939,IF(AND($Z938="Débit",$N938=$N937),$Q937)),IF(OR(AND(OR($E938&lt;&gt;"",$L938=""),$M938&lt;&gt;0),$A938=""),IFERROR(VLOOKUP($E938,Selection!$E:$F,2,false)),IFERROR(VLOOKUP(SUBSTITUTE($I938,"-","",1),$K939:$Q1119,7,false),VLOOKUP($K938,$K939:$Q1119,7,false))))</f>
        <v/>
      </c>
      <c r="R938" s="49" t="str">
        <f t="shared" si="2"/>
        <v/>
      </c>
      <c r="S938" s="51" t="str">
        <f t="shared" si="3"/>
        <v/>
      </c>
      <c r="T938" s="52" t="str">
        <f t="shared" si="4"/>
        <v/>
      </c>
      <c r="U938" s="46" t="str">
        <f t="shared" si="5"/>
        <v/>
      </c>
      <c r="V938" s="53" t="str">
        <f>IFERROR(__xludf.DUMMYFUNCTION(" IF(Account!$F938&lt;&gt;"""", SPLIT(Account!$F938, "" ""), """")"),"")</f>
        <v/>
      </c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</row>
    <row r="939">
      <c r="A939" s="215"/>
      <c r="B939" s="215"/>
      <c r="C939" s="215"/>
      <c r="D939" s="215"/>
      <c r="E939" s="215"/>
      <c r="F939" s="373"/>
      <c r="G939" s="215"/>
      <c r="H939" s="215"/>
      <c r="I939" s="215"/>
      <c r="J939" s="215"/>
      <c r="K939" s="215"/>
      <c r="L939" s="45" t="str">
        <f t="shared" si="1"/>
        <v/>
      </c>
      <c r="M939" s="46" t="str">
        <f>IFERROR(__xludf.DUMMYFUNCTION("IF(Account!$F939&lt;&gt;"""", VALUE(REGEXREPLACE($I939, ""\,"", ""."")), """")"),"")</f>
        <v/>
      </c>
      <c r="N939" s="47" t="str">
        <f>IF(Account!$F939&lt;&gt;"", DATEVALUE(MID($A939,4,3) &amp; LEFT($A939,3) &amp; RIGHT($A939,4)) + TIMEVALUE($B939), "")</f>
        <v/>
      </c>
      <c r="O939" s="48" t="str">
        <f>IF(Account!$F939&lt;&gt;"", DATEVALUE(MID($A939,4,3) &amp; LEFT($A939,3) &amp; RIGHT($A939,4)), "")</f>
        <v/>
      </c>
      <c r="P939" s="49" t="str">
        <f>IFERROR(VLOOKUP($Q939,Selection!$F:$G,2,false))</f>
        <v/>
      </c>
      <c r="Q939" s="50" t="str">
        <f>IF(AND($X939="change",$H939="EUR"),IF(AND($Z939="Crédit",$N939=$N940),$Q940,IF(AND($Z939="Débit",$N939=$N938),$Q938)),IF(OR(AND(OR($E939&lt;&gt;"",$L939=""),$M939&lt;&gt;0),$A939=""),IFERROR(VLOOKUP($E939,Selection!$E:$F,2,false)),IFERROR(VLOOKUP(SUBSTITUTE($I939,"-","",1),$K940:$Q1119,7,false),VLOOKUP($K939,$K940:$Q1119,7,false))))</f>
        <v/>
      </c>
      <c r="R939" s="49" t="str">
        <f t="shared" si="2"/>
        <v/>
      </c>
      <c r="S939" s="51" t="str">
        <f t="shared" si="3"/>
        <v/>
      </c>
      <c r="T939" s="52" t="str">
        <f t="shared" si="4"/>
        <v/>
      </c>
      <c r="U939" s="46" t="str">
        <f t="shared" si="5"/>
        <v/>
      </c>
      <c r="V939" s="53" t="str">
        <f>IFERROR(__xludf.DUMMYFUNCTION(" IF(Account!$F939&lt;&gt;"""", SPLIT(Account!$F939, "" ""), """")"),"")</f>
        <v/>
      </c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</row>
    <row r="940">
      <c r="A940" s="215"/>
      <c r="B940" s="215"/>
      <c r="C940" s="215"/>
      <c r="D940" s="215"/>
      <c r="E940" s="215"/>
      <c r="F940" s="373"/>
      <c r="G940" s="215"/>
      <c r="H940" s="215"/>
      <c r="I940" s="215"/>
      <c r="J940" s="215"/>
      <c r="K940" s="215"/>
      <c r="L940" s="45" t="str">
        <f t="shared" si="1"/>
        <v/>
      </c>
      <c r="M940" s="46" t="str">
        <f>IFERROR(__xludf.DUMMYFUNCTION("IF(Account!$F940&lt;&gt;"""", VALUE(REGEXREPLACE($I940, ""\,"", ""."")), """")"),"")</f>
        <v/>
      </c>
      <c r="N940" s="47" t="str">
        <f>IF(Account!$F940&lt;&gt;"", DATEVALUE(MID($A940,4,3) &amp; LEFT($A940,3) &amp; RIGHT($A940,4)) + TIMEVALUE($B940), "")</f>
        <v/>
      </c>
      <c r="O940" s="48" t="str">
        <f>IF(Account!$F940&lt;&gt;"", DATEVALUE(MID($A940,4,3) &amp; LEFT($A940,3) &amp; RIGHT($A940,4)), "")</f>
        <v/>
      </c>
      <c r="P940" s="49" t="str">
        <f>IFERROR(VLOOKUP($Q940,Selection!$F:$G,2,false))</f>
        <v/>
      </c>
      <c r="Q940" s="50" t="str">
        <f>IF(AND($X940="change",$H940="EUR"),IF(AND($Z940="Crédit",$N940=$N941),$Q941,IF(AND($Z940="Débit",$N940=$N939),$Q939)),IF(OR(AND(OR($E940&lt;&gt;"",$L940=""),$M940&lt;&gt;0),$A940=""),IFERROR(VLOOKUP($E940,Selection!$E:$F,2,false)),IFERROR(VLOOKUP(SUBSTITUTE($I940,"-","",1),$K941:$Q1119,7,false),VLOOKUP($K940,$K941:$Q1119,7,false))))</f>
        <v/>
      </c>
      <c r="R940" s="49" t="str">
        <f t="shared" si="2"/>
        <v/>
      </c>
      <c r="S940" s="51" t="str">
        <f t="shared" si="3"/>
        <v/>
      </c>
      <c r="T940" s="52" t="str">
        <f t="shared" si="4"/>
        <v/>
      </c>
      <c r="U940" s="46" t="str">
        <f t="shared" si="5"/>
        <v/>
      </c>
      <c r="V940" s="53" t="str">
        <f>IFERROR(__xludf.DUMMYFUNCTION(" IF(Account!$F940&lt;&gt;"""", SPLIT(Account!$F940, "" ""), """")"),"")</f>
        <v/>
      </c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</row>
    <row r="941">
      <c r="A941" s="215"/>
      <c r="B941" s="215"/>
      <c r="C941" s="215"/>
      <c r="D941" s="215"/>
      <c r="E941" s="215"/>
      <c r="F941" s="373"/>
      <c r="G941" s="215"/>
      <c r="H941" s="215"/>
      <c r="I941" s="215"/>
      <c r="J941" s="215"/>
      <c r="K941" s="215"/>
      <c r="L941" s="45" t="str">
        <f t="shared" si="1"/>
        <v/>
      </c>
      <c r="M941" s="46" t="str">
        <f>IFERROR(__xludf.DUMMYFUNCTION("IF(Account!$F941&lt;&gt;"""", VALUE(REGEXREPLACE($I941, ""\,"", ""."")), """")"),"")</f>
        <v/>
      </c>
      <c r="N941" s="47" t="str">
        <f>IF(Account!$F941&lt;&gt;"", DATEVALUE(MID($A941,4,3) &amp; LEFT($A941,3) &amp; RIGHT($A941,4)) + TIMEVALUE($B941), "")</f>
        <v/>
      </c>
      <c r="O941" s="48" t="str">
        <f>IF(Account!$F941&lt;&gt;"", DATEVALUE(MID($A941,4,3) &amp; LEFT($A941,3) &amp; RIGHT($A941,4)), "")</f>
        <v/>
      </c>
      <c r="P941" s="49" t="str">
        <f>IFERROR(VLOOKUP($Q941,Selection!$F:$G,2,false))</f>
        <v/>
      </c>
      <c r="Q941" s="50" t="str">
        <f>IF(AND($X941="change",$H941="EUR"),IF(AND($Z941="Crédit",$N941=$N942),$Q942,IF(AND($Z941="Débit",$N941=$N940),$Q940)),IF(OR(AND(OR($E941&lt;&gt;"",$L941=""),$M941&lt;&gt;0),$A941=""),IFERROR(VLOOKUP($E941,Selection!$E:$F,2,false)),IFERROR(VLOOKUP(SUBSTITUTE($I941,"-","",1),$K942:$Q1119,7,false),VLOOKUP($K941,$K942:$Q1119,7,false))))</f>
        <v/>
      </c>
      <c r="R941" s="49" t="str">
        <f t="shared" si="2"/>
        <v/>
      </c>
      <c r="S941" s="51" t="str">
        <f t="shared" si="3"/>
        <v/>
      </c>
      <c r="T941" s="52" t="str">
        <f t="shared" si="4"/>
        <v/>
      </c>
      <c r="U941" s="46" t="str">
        <f t="shared" si="5"/>
        <v/>
      </c>
      <c r="V941" s="53" t="str">
        <f>IFERROR(__xludf.DUMMYFUNCTION(" IF(Account!$F941&lt;&gt;"""", SPLIT(Account!$F941, "" ""), """")"),"")</f>
        <v/>
      </c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</row>
    <row r="942">
      <c r="A942" s="215"/>
      <c r="B942" s="215"/>
      <c r="C942" s="215"/>
      <c r="D942" s="215"/>
      <c r="E942" s="215"/>
      <c r="F942" s="373"/>
      <c r="G942" s="215"/>
      <c r="H942" s="215"/>
      <c r="I942" s="215"/>
      <c r="J942" s="215"/>
      <c r="K942" s="215"/>
      <c r="L942" s="45" t="str">
        <f t="shared" si="1"/>
        <v/>
      </c>
      <c r="M942" s="46" t="str">
        <f>IFERROR(__xludf.DUMMYFUNCTION("IF(Account!$F942&lt;&gt;"""", VALUE(REGEXREPLACE($I942, ""\,"", ""."")), """")"),"")</f>
        <v/>
      </c>
      <c r="N942" s="47" t="str">
        <f>IF(Account!$F942&lt;&gt;"", DATEVALUE(MID($A942,4,3) &amp; LEFT($A942,3) &amp; RIGHT($A942,4)) + TIMEVALUE($B942), "")</f>
        <v/>
      </c>
      <c r="O942" s="48" t="str">
        <f>IF(Account!$F942&lt;&gt;"", DATEVALUE(MID($A942,4,3) &amp; LEFT($A942,3) &amp; RIGHT($A942,4)), "")</f>
        <v/>
      </c>
      <c r="P942" s="49" t="str">
        <f>IFERROR(VLOOKUP($Q942,Selection!$F:$G,2,false))</f>
        <v/>
      </c>
      <c r="Q942" s="50" t="str">
        <f>IF(AND($X942="change",$H942="EUR"),IF(AND($Z942="Crédit",$N942=$N943),$Q943,IF(AND($Z942="Débit",$N942=$N941),$Q941)),IF(OR(AND(OR($E942&lt;&gt;"",$L942=""),$M942&lt;&gt;0),$A942=""),IFERROR(VLOOKUP($E942,Selection!$E:$F,2,false)),IFERROR(VLOOKUP(SUBSTITUTE($I942,"-","",1),$K943:$Q1119,7,false),VLOOKUP($K942,$K943:$Q1119,7,false))))</f>
        <v/>
      </c>
      <c r="R942" s="49" t="str">
        <f t="shared" si="2"/>
        <v/>
      </c>
      <c r="S942" s="51" t="str">
        <f t="shared" si="3"/>
        <v/>
      </c>
      <c r="T942" s="52" t="str">
        <f t="shared" si="4"/>
        <v/>
      </c>
      <c r="U942" s="46" t="str">
        <f t="shared" si="5"/>
        <v/>
      </c>
      <c r="V942" s="53" t="str">
        <f>IFERROR(__xludf.DUMMYFUNCTION(" IF(Account!$F942&lt;&gt;"""", SPLIT(Account!$F942, "" ""), """")"),"")</f>
        <v/>
      </c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</row>
    <row r="943">
      <c r="A943" s="215"/>
      <c r="B943" s="215"/>
      <c r="C943" s="215"/>
      <c r="D943" s="215"/>
      <c r="E943" s="215"/>
      <c r="F943" s="373"/>
      <c r="G943" s="215"/>
      <c r="H943" s="215"/>
      <c r="I943" s="215"/>
      <c r="J943" s="215"/>
      <c r="K943" s="215"/>
      <c r="L943" s="45" t="str">
        <f t="shared" si="1"/>
        <v/>
      </c>
      <c r="M943" s="46" t="str">
        <f>IFERROR(__xludf.DUMMYFUNCTION("IF(Account!$F943&lt;&gt;"""", VALUE(REGEXREPLACE($I943, ""\,"", ""."")), """")"),"")</f>
        <v/>
      </c>
      <c r="N943" s="47" t="str">
        <f>IF(Account!$F943&lt;&gt;"", DATEVALUE(MID($A943,4,3) &amp; LEFT($A943,3) &amp; RIGHT($A943,4)) + TIMEVALUE($B943), "")</f>
        <v/>
      </c>
      <c r="O943" s="48" t="str">
        <f>IF(Account!$F943&lt;&gt;"", DATEVALUE(MID($A943,4,3) &amp; LEFT($A943,3) &amp; RIGHT($A943,4)), "")</f>
        <v/>
      </c>
      <c r="P943" s="49" t="str">
        <f>IFERROR(VLOOKUP($Q943,Selection!$F:$G,2,false))</f>
        <v/>
      </c>
      <c r="Q943" s="50" t="str">
        <f>IF(AND($X943="change",$H943="EUR"),IF(AND($Z943="Crédit",$N943=$N944),$Q944,IF(AND($Z943="Débit",$N943=$N942),$Q942)),IF(OR(AND(OR($E943&lt;&gt;"",$L943=""),$M943&lt;&gt;0),$A943=""),IFERROR(VLOOKUP($E943,Selection!$E:$F,2,false)),IFERROR(VLOOKUP(SUBSTITUTE($I943,"-","",1),$K944:$Q1119,7,false),VLOOKUP($K943,$K944:$Q1119,7,false))))</f>
        <v/>
      </c>
      <c r="R943" s="49" t="str">
        <f t="shared" si="2"/>
        <v/>
      </c>
      <c r="S943" s="51" t="str">
        <f t="shared" si="3"/>
        <v/>
      </c>
      <c r="T943" s="52" t="str">
        <f t="shared" si="4"/>
        <v/>
      </c>
      <c r="U943" s="46" t="str">
        <f t="shared" si="5"/>
        <v/>
      </c>
      <c r="V943" s="53" t="str">
        <f>IFERROR(__xludf.DUMMYFUNCTION(" IF(Account!$F943&lt;&gt;"""", SPLIT(Account!$F943, "" ""), """")"),"")</f>
        <v/>
      </c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</row>
    <row r="944">
      <c r="A944" s="215"/>
      <c r="B944" s="215"/>
      <c r="C944" s="215"/>
      <c r="D944" s="215"/>
      <c r="E944" s="215"/>
      <c r="F944" s="373"/>
      <c r="G944" s="215"/>
      <c r="H944" s="215"/>
      <c r="I944" s="215"/>
      <c r="J944" s="215"/>
      <c r="K944" s="215"/>
      <c r="L944" s="45" t="str">
        <f t="shared" si="1"/>
        <v/>
      </c>
      <c r="M944" s="46" t="str">
        <f>IFERROR(__xludf.DUMMYFUNCTION("IF(Account!$F944&lt;&gt;"""", VALUE(REGEXREPLACE($I944, ""\,"", ""."")), """")"),"")</f>
        <v/>
      </c>
      <c r="N944" s="47" t="str">
        <f>IF(Account!$F944&lt;&gt;"", DATEVALUE(MID($A944,4,3) &amp; LEFT($A944,3) &amp; RIGHT($A944,4)) + TIMEVALUE($B944), "")</f>
        <v/>
      </c>
      <c r="O944" s="48" t="str">
        <f>IF(Account!$F944&lt;&gt;"", DATEVALUE(MID($A944,4,3) &amp; LEFT($A944,3) &amp; RIGHT($A944,4)), "")</f>
        <v/>
      </c>
      <c r="P944" s="49" t="str">
        <f>IFERROR(VLOOKUP($Q944,Selection!$F:$G,2,false))</f>
        <v/>
      </c>
      <c r="Q944" s="50" t="str">
        <f>IF(AND($X944="change",$H944="EUR"),IF(AND($Z944="Crédit",$N944=$N945),$Q945,IF(AND($Z944="Débit",$N944=$N943),$Q943)),IF(OR(AND(OR($E944&lt;&gt;"",$L944=""),$M944&lt;&gt;0),$A944=""),IFERROR(VLOOKUP($E944,Selection!$E:$F,2,false)),IFERROR(VLOOKUP(SUBSTITUTE($I944,"-","",1),$K945:$Q1119,7,false),VLOOKUP($K944,$K945:$Q1119,7,false))))</f>
        <v/>
      </c>
      <c r="R944" s="49" t="str">
        <f t="shared" si="2"/>
        <v/>
      </c>
      <c r="S944" s="51" t="str">
        <f t="shared" si="3"/>
        <v/>
      </c>
      <c r="T944" s="52" t="str">
        <f t="shared" si="4"/>
        <v/>
      </c>
      <c r="U944" s="46" t="str">
        <f t="shared" si="5"/>
        <v/>
      </c>
      <c r="V944" s="53" t="str">
        <f>IFERROR(__xludf.DUMMYFUNCTION(" IF(Account!$F944&lt;&gt;"""", SPLIT(Account!$F944, "" ""), """")"),"")</f>
        <v/>
      </c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</row>
    <row r="945">
      <c r="A945" s="215"/>
      <c r="B945" s="215"/>
      <c r="C945" s="215"/>
      <c r="D945" s="215"/>
      <c r="E945" s="215"/>
      <c r="F945" s="373"/>
      <c r="G945" s="215"/>
      <c r="H945" s="215"/>
      <c r="I945" s="215"/>
      <c r="J945" s="215"/>
      <c r="K945" s="215"/>
      <c r="L945" s="45" t="str">
        <f t="shared" si="1"/>
        <v/>
      </c>
      <c r="M945" s="46" t="str">
        <f>IFERROR(__xludf.DUMMYFUNCTION("IF(Account!$F945&lt;&gt;"""", VALUE(REGEXREPLACE($I945, ""\,"", ""."")), """")"),"")</f>
        <v/>
      </c>
      <c r="N945" s="47" t="str">
        <f>IF(Account!$F945&lt;&gt;"", DATEVALUE(MID($A945,4,3) &amp; LEFT($A945,3) &amp; RIGHT($A945,4)) + TIMEVALUE($B945), "")</f>
        <v/>
      </c>
      <c r="O945" s="48" t="str">
        <f>IF(Account!$F945&lt;&gt;"", DATEVALUE(MID($A945,4,3) &amp; LEFT($A945,3) &amp; RIGHT($A945,4)), "")</f>
        <v/>
      </c>
      <c r="P945" s="49" t="str">
        <f>IFERROR(VLOOKUP($Q945,Selection!$F:$G,2,false))</f>
        <v/>
      </c>
      <c r="Q945" s="50" t="str">
        <f>IF(AND($X945="change",$H945="EUR"),IF(AND($Z945="Crédit",$N945=$N946),$Q946,IF(AND($Z945="Débit",$N945=$N944),$Q944)),IF(OR(AND(OR($E945&lt;&gt;"",$L945=""),$M945&lt;&gt;0),$A945=""),IFERROR(VLOOKUP($E945,Selection!$E:$F,2,false)),IFERROR(VLOOKUP(SUBSTITUTE($I945,"-","",1),$K946:$Q1119,7,false),VLOOKUP($K945,$K946:$Q1119,7,false))))</f>
        <v/>
      </c>
      <c r="R945" s="49" t="str">
        <f t="shared" si="2"/>
        <v/>
      </c>
      <c r="S945" s="51" t="str">
        <f t="shared" si="3"/>
        <v/>
      </c>
      <c r="T945" s="52" t="str">
        <f t="shared" si="4"/>
        <v/>
      </c>
      <c r="U945" s="46" t="str">
        <f t="shared" si="5"/>
        <v/>
      </c>
      <c r="V945" s="53" t="str">
        <f>IFERROR(__xludf.DUMMYFUNCTION(" IF(Account!$F945&lt;&gt;"""", SPLIT(Account!$F945, "" ""), """")"),"")</f>
        <v/>
      </c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</row>
    <row r="946">
      <c r="A946" s="215"/>
      <c r="B946" s="215"/>
      <c r="C946" s="215"/>
      <c r="D946" s="215"/>
      <c r="E946" s="215"/>
      <c r="F946" s="373"/>
      <c r="G946" s="215"/>
      <c r="H946" s="215"/>
      <c r="I946" s="215"/>
      <c r="J946" s="215"/>
      <c r="K946" s="215"/>
      <c r="L946" s="45" t="str">
        <f t="shared" si="1"/>
        <v/>
      </c>
      <c r="M946" s="46" t="str">
        <f>IFERROR(__xludf.DUMMYFUNCTION("IF(Account!$F946&lt;&gt;"""", VALUE(REGEXREPLACE($I946, ""\,"", ""."")), """")"),"")</f>
        <v/>
      </c>
      <c r="N946" s="47" t="str">
        <f>IF(Account!$F946&lt;&gt;"", DATEVALUE(MID($A946,4,3) &amp; LEFT($A946,3) &amp; RIGHT($A946,4)) + TIMEVALUE($B946), "")</f>
        <v/>
      </c>
      <c r="O946" s="48" t="str">
        <f>IF(Account!$F946&lt;&gt;"", DATEVALUE(MID($A946,4,3) &amp; LEFT($A946,3) &amp; RIGHT($A946,4)), "")</f>
        <v/>
      </c>
      <c r="P946" s="49" t="str">
        <f>IFERROR(VLOOKUP($Q946,Selection!$F:$G,2,false))</f>
        <v/>
      </c>
      <c r="Q946" s="50" t="str">
        <f>IF(AND($X946="change",$H946="EUR"),IF(AND($Z946="Crédit",$N946=$N947),$Q947,IF(AND($Z946="Débit",$N946=$N945),$Q945)),IF(OR(AND(OR($E946&lt;&gt;"",$L946=""),$M946&lt;&gt;0),$A946=""),IFERROR(VLOOKUP($E946,Selection!$E:$F,2,false)),IFERROR(VLOOKUP(SUBSTITUTE($I946,"-","",1),$K947:$Q1119,7,false),VLOOKUP($K946,$K947:$Q1119,7,false))))</f>
        <v/>
      </c>
      <c r="R946" s="49" t="str">
        <f t="shared" si="2"/>
        <v/>
      </c>
      <c r="S946" s="51" t="str">
        <f t="shared" si="3"/>
        <v/>
      </c>
      <c r="T946" s="52" t="str">
        <f t="shared" si="4"/>
        <v/>
      </c>
      <c r="U946" s="46" t="str">
        <f t="shared" si="5"/>
        <v/>
      </c>
      <c r="V946" s="53" t="str">
        <f>IFERROR(__xludf.DUMMYFUNCTION(" IF(Account!$F946&lt;&gt;"""", SPLIT(Account!$F946, "" ""), """")"),"")</f>
        <v/>
      </c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</row>
    <row r="947">
      <c r="A947" s="215"/>
      <c r="B947" s="215"/>
      <c r="C947" s="215"/>
      <c r="D947" s="215"/>
      <c r="E947" s="215"/>
      <c r="F947" s="373"/>
      <c r="G947" s="215"/>
      <c r="H947" s="215"/>
      <c r="I947" s="215"/>
      <c r="J947" s="215"/>
      <c r="K947" s="215"/>
      <c r="L947" s="45" t="str">
        <f t="shared" si="1"/>
        <v/>
      </c>
      <c r="M947" s="46" t="str">
        <f>IFERROR(__xludf.DUMMYFUNCTION("IF(Account!$F947&lt;&gt;"""", VALUE(REGEXREPLACE($I947, ""\,"", ""."")), """")"),"")</f>
        <v/>
      </c>
      <c r="N947" s="47" t="str">
        <f>IF(Account!$F947&lt;&gt;"", DATEVALUE(MID($A947,4,3) &amp; LEFT($A947,3) &amp; RIGHT($A947,4)) + TIMEVALUE($B947), "")</f>
        <v/>
      </c>
      <c r="O947" s="48" t="str">
        <f>IF(Account!$F947&lt;&gt;"", DATEVALUE(MID($A947,4,3) &amp; LEFT($A947,3) &amp; RIGHT($A947,4)), "")</f>
        <v/>
      </c>
      <c r="P947" s="49" t="str">
        <f>IFERROR(VLOOKUP($Q947,Selection!$F:$G,2,false))</f>
        <v/>
      </c>
      <c r="Q947" s="50" t="str">
        <f>IF(AND($X947="change",$H947="EUR"),IF(AND($Z947="Crédit",$N947=$N948),$Q948,IF(AND($Z947="Débit",$N947=$N946),$Q946)),IF(OR(AND(OR($E947&lt;&gt;"",$L947=""),$M947&lt;&gt;0),$A947=""),IFERROR(VLOOKUP($E947,Selection!$E:$F,2,false)),IFERROR(VLOOKUP(SUBSTITUTE($I947,"-","",1),$K948:$Q1119,7,false),VLOOKUP($K947,$K948:$Q1119,7,false))))</f>
        <v/>
      </c>
      <c r="R947" s="49" t="str">
        <f t="shared" si="2"/>
        <v/>
      </c>
      <c r="S947" s="51" t="str">
        <f t="shared" si="3"/>
        <v/>
      </c>
      <c r="T947" s="52" t="str">
        <f t="shared" si="4"/>
        <v/>
      </c>
      <c r="U947" s="46" t="str">
        <f t="shared" si="5"/>
        <v/>
      </c>
      <c r="V947" s="53" t="str">
        <f>IFERROR(__xludf.DUMMYFUNCTION(" IF(Account!$F947&lt;&gt;"""", SPLIT(Account!$F947, "" ""), """")"),"")</f>
        <v/>
      </c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</row>
    <row r="948">
      <c r="A948" s="215"/>
      <c r="B948" s="215"/>
      <c r="C948" s="215"/>
      <c r="D948" s="215"/>
      <c r="E948" s="215"/>
      <c r="F948" s="373"/>
      <c r="G948" s="215"/>
      <c r="H948" s="215"/>
      <c r="I948" s="215"/>
      <c r="J948" s="215"/>
      <c r="K948" s="215"/>
      <c r="L948" s="45" t="str">
        <f t="shared" si="1"/>
        <v/>
      </c>
      <c r="M948" s="46" t="str">
        <f>IFERROR(__xludf.DUMMYFUNCTION("IF(Account!$F948&lt;&gt;"""", VALUE(REGEXREPLACE($I948, ""\,"", ""."")), """")"),"")</f>
        <v/>
      </c>
      <c r="N948" s="47" t="str">
        <f>IF(Account!$F948&lt;&gt;"", DATEVALUE(MID($A948,4,3) &amp; LEFT($A948,3) &amp; RIGHT($A948,4)) + TIMEVALUE($B948), "")</f>
        <v/>
      </c>
      <c r="O948" s="48" t="str">
        <f>IF(Account!$F948&lt;&gt;"", DATEVALUE(MID($A948,4,3) &amp; LEFT($A948,3) &amp; RIGHT($A948,4)), "")</f>
        <v/>
      </c>
      <c r="P948" s="49" t="str">
        <f>IFERROR(VLOOKUP($Q948,Selection!$F:$G,2,false))</f>
        <v/>
      </c>
      <c r="Q948" s="50" t="str">
        <f>IF(AND($X948="change",$H948="EUR"),IF(AND($Z948="Crédit",$N948=$N949),$Q949,IF(AND($Z948="Débit",$N948=$N947),$Q947)),IF(OR(AND(OR($E948&lt;&gt;"",$L948=""),$M948&lt;&gt;0),$A948=""),IFERROR(VLOOKUP($E948,Selection!$E:$F,2,false)),IFERROR(VLOOKUP(SUBSTITUTE($I948,"-","",1),$K949:$Q1119,7,false),VLOOKUP($K948,$K949:$Q1119,7,false))))</f>
        <v/>
      </c>
      <c r="R948" s="49" t="str">
        <f t="shared" si="2"/>
        <v/>
      </c>
      <c r="S948" s="51" t="str">
        <f t="shared" si="3"/>
        <v/>
      </c>
      <c r="T948" s="52" t="str">
        <f t="shared" si="4"/>
        <v/>
      </c>
      <c r="U948" s="46" t="str">
        <f t="shared" si="5"/>
        <v/>
      </c>
      <c r="V948" s="53" t="str">
        <f>IFERROR(__xludf.DUMMYFUNCTION(" IF(Account!$F948&lt;&gt;"""", SPLIT(Account!$F948, "" ""), """")"),"")</f>
        <v/>
      </c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</row>
    <row r="949">
      <c r="A949" s="215"/>
      <c r="B949" s="215"/>
      <c r="C949" s="215"/>
      <c r="D949" s="215"/>
      <c r="E949" s="215"/>
      <c r="F949" s="373"/>
      <c r="G949" s="215"/>
      <c r="H949" s="215"/>
      <c r="I949" s="215"/>
      <c r="J949" s="215"/>
      <c r="K949" s="215"/>
      <c r="L949" s="45" t="str">
        <f t="shared" si="1"/>
        <v/>
      </c>
      <c r="M949" s="46" t="str">
        <f>IFERROR(__xludf.DUMMYFUNCTION("IF(Account!$F949&lt;&gt;"""", VALUE(REGEXREPLACE($I949, ""\,"", ""."")), """")"),"")</f>
        <v/>
      </c>
      <c r="N949" s="47" t="str">
        <f>IF(Account!$F949&lt;&gt;"", DATEVALUE(MID($A949,4,3) &amp; LEFT($A949,3) &amp; RIGHT($A949,4)) + TIMEVALUE($B949), "")</f>
        <v/>
      </c>
      <c r="O949" s="48" t="str">
        <f>IF(Account!$F949&lt;&gt;"", DATEVALUE(MID($A949,4,3) &amp; LEFT($A949,3) &amp; RIGHT($A949,4)), "")</f>
        <v/>
      </c>
      <c r="P949" s="49" t="str">
        <f>IFERROR(VLOOKUP($Q949,Selection!$F:$G,2,false))</f>
        <v/>
      </c>
      <c r="Q949" s="50" t="str">
        <f>IF(AND($X949="change",$H949="EUR"),IF(AND($Z949="Crédit",$N949=$N950),$Q950,IF(AND($Z949="Débit",$N949=$N948),$Q948)),IF(OR(AND(OR($E949&lt;&gt;"",$L949=""),$M949&lt;&gt;0),$A949=""),IFERROR(VLOOKUP($E949,Selection!$E:$F,2,false)),IFERROR(VLOOKUP(SUBSTITUTE($I949,"-","",1),$K950:$Q1119,7,false),VLOOKUP($K949,$K950:$Q1119,7,false))))</f>
        <v/>
      </c>
      <c r="R949" s="49" t="str">
        <f t="shared" si="2"/>
        <v/>
      </c>
      <c r="S949" s="51" t="str">
        <f t="shared" si="3"/>
        <v/>
      </c>
      <c r="T949" s="52" t="str">
        <f t="shared" si="4"/>
        <v/>
      </c>
      <c r="U949" s="46" t="str">
        <f t="shared" si="5"/>
        <v/>
      </c>
      <c r="V949" s="53" t="str">
        <f>IFERROR(__xludf.DUMMYFUNCTION(" IF(Account!$F949&lt;&gt;"""", SPLIT(Account!$F949, "" ""), """")"),"")</f>
        <v/>
      </c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</row>
    <row r="950">
      <c r="A950" s="215"/>
      <c r="B950" s="215"/>
      <c r="C950" s="215"/>
      <c r="D950" s="215"/>
      <c r="E950" s="215"/>
      <c r="F950" s="373"/>
      <c r="G950" s="215"/>
      <c r="H950" s="215"/>
      <c r="I950" s="215"/>
      <c r="J950" s="215"/>
      <c r="K950" s="215"/>
      <c r="L950" s="45" t="str">
        <f t="shared" si="1"/>
        <v/>
      </c>
      <c r="M950" s="46" t="str">
        <f>IFERROR(__xludf.DUMMYFUNCTION("IF(Account!$F950&lt;&gt;"""", VALUE(REGEXREPLACE($I950, ""\,"", ""."")), """")"),"")</f>
        <v/>
      </c>
      <c r="N950" s="47" t="str">
        <f>IF(Account!$F950&lt;&gt;"", DATEVALUE(MID($A950,4,3) &amp; LEFT($A950,3) &amp; RIGHT($A950,4)) + TIMEVALUE($B950), "")</f>
        <v/>
      </c>
      <c r="O950" s="48" t="str">
        <f>IF(Account!$F950&lt;&gt;"", DATEVALUE(MID($A950,4,3) &amp; LEFT($A950,3) &amp; RIGHT($A950,4)), "")</f>
        <v/>
      </c>
      <c r="P950" s="49" t="str">
        <f>IFERROR(VLOOKUP($Q950,Selection!$F:$G,2,false))</f>
        <v/>
      </c>
      <c r="Q950" s="50" t="str">
        <f>IF(AND($X950="change",$H950="EUR"),IF(AND($Z950="Crédit",$N950=$N951),$Q951,IF(AND($Z950="Débit",$N950=$N949),$Q949)),IF(OR(AND(OR($E950&lt;&gt;"",$L950=""),$M950&lt;&gt;0),$A950=""),IFERROR(VLOOKUP($E950,Selection!$E:$F,2,false)),IFERROR(VLOOKUP(SUBSTITUTE($I950,"-","",1),$K951:$Q1119,7,false),VLOOKUP($K950,$K951:$Q1119,7,false))))</f>
        <v/>
      </c>
      <c r="R950" s="49" t="str">
        <f t="shared" si="2"/>
        <v/>
      </c>
      <c r="S950" s="51" t="str">
        <f t="shared" si="3"/>
        <v/>
      </c>
      <c r="T950" s="52" t="str">
        <f t="shared" si="4"/>
        <v/>
      </c>
      <c r="U950" s="46" t="str">
        <f t="shared" si="5"/>
        <v/>
      </c>
      <c r="V950" s="53" t="str">
        <f>IFERROR(__xludf.DUMMYFUNCTION(" IF(Account!$F950&lt;&gt;"""", SPLIT(Account!$F950, "" ""), """")"),"")</f>
        <v/>
      </c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</row>
    <row r="951">
      <c r="A951" s="215"/>
      <c r="B951" s="215"/>
      <c r="C951" s="215"/>
      <c r="D951" s="215"/>
      <c r="E951" s="215"/>
      <c r="F951" s="373"/>
      <c r="G951" s="215"/>
      <c r="H951" s="215"/>
      <c r="I951" s="215"/>
      <c r="J951" s="215"/>
      <c r="K951" s="215"/>
      <c r="L951" s="45" t="str">
        <f t="shared" si="1"/>
        <v/>
      </c>
      <c r="M951" s="46" t="str">
        <f>IFERROR(__xludf.DUMMYFUNCTION("IF(Account!$F951&lt;&gt;"""", VALUE(REGEXREPLACE($I951, ""\,"", ""."")), """")"),"")</f>
        <v/>
      </c>
      <c r="N951" s="47" t="str">
        <f>IF(Account!$F951&lt;&gt;"", DATEVALUE(MID($A951,4,3) &amp; LEFT($A951,3) &amp; RIGHT($A951,4)) + TIMEVALUE($B951), "")</f>
        <v/>
      </c>
      <c r="O951" s="48" t="str">
        <f>IF(Account!$F951&lt;&gt;"", DATEVALUE(MID($A951,4,3) &amp; LEFT($A951,3) &amp; RIGHT($A951,4)), "")</f>
        <v/>
      </c>
      <c r="P951" s="49" t="str">
        <f>IFERROR(VLOOKUP($Q951,Selection!$F:$G,2,false))</f>
        <v/>
      </c>
      <c r="Q951" s="50" t="str">
        <f>IF(AND($X951="change",$H951="EUR"),IF(AND($Z951="Crédit",$N951=$N952),$Q952,IF(AND($Z951="Débit",$N951=$N950),$Q950)),IF(OR(AND(OR($E951&lt;&gt;"",$L951=""),$M951&lt;&gt;0),$A951=""),IFERROR(VLOOKUP($E951,Selection!$E:$F,2,false)),IFERROR(VLOOKUP(SUBSTITUTE($I951,"-","",1),$K952:$Q1119,7,false),VLOOKUP($K951,$K952:$Q1119,7,false))))</f>
        <v/>
      </c>
      <c r="R951" s="49" t="str">
        <f t="shared" si="2"/>
        <v/>
      </c>
      <c r="S951" s="51" t="str">
        <f t="shared" si="3"/>
        <v/>
      </c>
      <c r="T951" s="52" t="str">
        <f t="shared" si="4"/>
        <v/>
      </c>
      <c r="U951" s="46" t="str">
        <f t="shared" si="5"/>
        <v/>
      </c>
      <c r="V951" s="53" t="str">
        <f>IFERROR(__xludf.DUMMYFUNCTION(" IF(Account!$F951&lt;&gt;"""", SPLIT(Account!$F951, "" ""), """")"),"")</f>
        <v/>
      </c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</row>
    <row r="952">
      <c r="A952" s="215"/>
      <c r="B952" s="215"/>
      <c r="C952" s="215"/>
      <c r="D952" s="215"/>
      <c r="E952" s="215"/>
      <c r="F952" s="373"/>
      <c r="G952" s="215"/>
      <c r="H952" s="215"/>
      <c r="I952" s="215"/>
      <c r="J952" s="215"/>
      <c r="K952" s="215"/>
      <c r="L952" s="45" t="str">
        <f t="shared" si="1"/>
        <v/>
      </c>
      <c r="M952" s="46" t="str">
        <f>IFERROR(__xludf.DUMMYFUNCTION("IF(Account!$F952&lt;&gt;"""", VALUE(REGEXREPLACE($I952, ""\,"", ""."")), """")"),"")</f>
        <v/>
      </c>
      <c r="N952" s="47" t="str">
        <f>IF(Account!$F952&lt;&gt;"", DATEVALUE(MID($A952,4,3) &amp; LEFT($A952,3) &amp; RIGHT($A952,4)) + TIMEVALUE($B952), "")</f>
        <v/>
      </c>
      <c r="O952" s="48" t="str">
        <f>IF(Account!$F952&lt;&gt;"", DATEVALUE(MID($A952,4,3) &amp; LEFT($A952,3) &amp; RIGHT($A952,4)), "")</f>
        <v/>
      </c>
      <c r="P952" s="49" t="str">
        <f>IFERROR(VLOOKUP($Q952,Selection!$F:$G,2,false))</f>
        <v/>
      </c>
      <c r="Q952" s="50" t="str">
        <f>IF(AND($X952="change",$H952="EUR"),IF(AND($Z952="Crédit",$N952=$N953),$Q953,IF(AND($Z952="Débit",$N952=$N951),$Q951)),IF(OR(AND(OR($E952&lt;&gt;"",$L952=""),$M952&lt;&gt;0),$A952=""),IFERROR(VLOOKUP($E952,Selection!$E:$F,2,false)),IFERROR(VLOOKUP(SUBSTITUTE($I952,"-","",1),$K953:$Q1119,7,false),VLOOKUP($K952,$K953:$Q1119,7,false))))</f>
        <v/>
      </c>
      <c r="R952" s="49" t="str">
        <f t="shared" si="2"/>
        <v/>
      </c>
      <c r="S952" s="51" t="str">
        <f t="shared" si="3"/>
        <v/>
      </c>
      <c r="T952" s="52" t="str">
        <f t="shared" si="4"/>
        <v/>
      </c>
      <c r="U952" s="46" t="str">
        <f t="shared" si="5"/>
        <v/>
      </c>
      <c r="V952" s="53" t="str">
        <f>IFERROR(__xludf.DUMMYFUNCTION(" IF(Account!$F952&lt;&gt;"""", SPLIT(Account!$F952, "" ""), """")"),"")</f>
        <v/>
      </c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</row>
    <row r="953">
      <c r="A953" s="215"/>
      <c r="B953" s="215"/>
      <c r="C953" s="215"/>
      <c r="D953" s="215"/>
      <c r="E953" s="215"/>
      <c r="F953" s="373"/>
      <c r="G953" s="215"/>
      <c r="H953" s="215"/>
      <c r="I953" s="215"/>
      <c r="J953" s="215"/>
      <c r="K953" s="215"/>
      <c r="L953" s="45" t="str">
        <f t="shared" si="1"/>
        <v/>
      </c>
      <c r="M953" s="46" t="str">
        <f>IFERROR(__xludf.DUMMYFUNCTION("IF(Account!$F953&lt;&gt;"""", VALUE(REGEXREPLACE($I953, ""\,"", ""."")), """")"),"")</f>
        <v/>
      </c>
      <c r="N953" s="47" t="str">
        <f>IF(Account!$F953&lt;&gt;"", DATEVALUE(MID($A953,4,3) &amp; LEFT($A953,3) &amp; RIGHT($A953,4)) + TIMEVALUE($B953), "")</f>
        <v/>
      </c>
      <c r="O953" s="48" t="str">
        <f>IF(Account!$F953&lt;&gt;"", DATEVALUE(MID($A953,4,3) &amp; LEFT($A953,3) &amp; RIGHT($A953,4)), "")</f>
        <v/>
      </c>
      <c r="P953" s="49" t="str">
        <f>IFERROR(VLOOKUP($Q953,Selection!$F:$G,2,false))</f>
        <v/>
      </c>
      <c r="Q953" s="50" t="str">
        <f>IF(AND($X953="change",$H953="EUR"),IF(AND($Z953="Crédit",$N953=$N954),$Q954,IF(AND($Z953="Débit",$N953=$N952),$Q952)),IF(OR(AND(OR($E953&lt;&gt;"",$L953=""),$M953&lt;&gt;0),$A953=""),IFERROR(VLOOKUP($E953,Selection!$E:$F,2,false)),IFERROR(VLOOKUP(SUBSTITUTE($I953,"-","",1),$K954:$Q1119,7,false),VLOOKUP($K953,$K954:$Q1119,7,false))))</f>
        <v/>
      </c>
      <c r="R953" s="49" t="str">
        <f t="shared" si="2"/>
        <v/>
      </c>
      <c r="S953" s="51" t="str">
        <f t="shared" si="3"/>
        <v/>
      </c>
      <c r="T953" s="52" t="str">
        <f t="shared" si="4"/>
        <v/>
      </c>
      <c r="U953" s="46" t="str">
        <f t="shared" si="5"/>
        <v/>
      </c>
      <c r="V953" s="53" t="str">
        <f>IFERROR(__xludf.DUMMYFUNCTION(" IF(Account!$F953&lt;&gt;"""", SPLIT(Account!$F953, "" ""), """")"),"")</f>
        <v/>
      </c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</row>
    <row r="954">
      <c r="A954" s="215"/>
      <c r="B954" s="215"/>
      <c r="C954" s="215"/>
      <c r="D954" s="215"/>
      <c r="E954" s="215"/>
      <c r="F954" s="373"/>
      <c r="G954" s="215"/>
      <c r="H954" s="215"/>
      <c r="I954" s="215"/>
      <c r="J954" s="215"/>
      <c r="K954" s="215"/>
      <c r="L954" s="45" t="str">
        <f t="shared" si="1"/>
        <v/>
      </c>
      <c r="M954" s="46" t="str">
        <f>IFERROR(__xludf.DUMMYFUNCTION("IF(Account!$F954&lt;&gt;"""", VALUE(REGEXREPLACE($I954, ""\,"", ""."")), """")"),"")</f>
        <v/>
      </c>
      <c r="N954" s="47" t="str">
        <f>IF(Account!$F954&lt;&gt;"", DATEVALUE(MID($A954,4,3) &amp; LEFT($A954,3) &amp; RIGHT($A954,4)) + TIMEVALUE($B954), "")</f>
        <v/>
      </c>
      <c r="O954" s="48" t="str">
        <f>IF(Account!$F954&lt;&gt;"", DATEVALUE(MID($A954,4,3) &amp; LEFT($A954,3) &amp; RIGHT($A954,4)), "")</f>
        <v/>
      </c>
      <c r="P954" s="49" t="str">
        <f>IFERROR(VLOOKUP($Q954,Selection!$F:$G,2,false))</f>
        <v/>
      </c>
      <c r="Q954" s="50" t="str">
        <f>IF(AND($X954="change",$H954="EUR"),IF(AND($Z954="Crédit",$N954=$N955),$Q955,IF(AND($Z954="Débit",$N954=$N953),$Q953)),IF(OR(AND(OR($E954&lt;&gt;"",$L954=""),$M954&lt;&gt;0),$A954=""),IFERROR(VLOOKUP($E954,Selection!$E:$F,2,false)),IFERROR(VLOOKUP(SUBSTITUTE($I954,"-","",1),$K955:$Q1119,7,false),VLOOKUP($K954,$K955:$Q1119,7,false))))</f>
        <v/>
      </c>
      <c r="R954" s="49" t="str">
        <f t="shared" si="2"/>
        <v/>
      </c>
      <c r="S954" s="51" t="str">
        <f t="shared" si="3"/>
        <v/>
      </c>
      <c r="T954" s="52" t="str">
        <f t="shared" si="4"/>
        <v/>
      </c>
      <c r="U954" s="46" t="str">
        <f t="shared" si="5"/>
        <v/>
      </c>
      <c r="V954" s="53" t="str">
        <f>IFERROR(__xludf.DUMMYFUNCTION(" IF(Account!$F954&lt;&gt;"""", SPLIT(Account!$F954, "" ""), """")"),"")</f>
        <v/>
      </c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</row>
    <row r="955">
      <c r="A955" s="215"/>
      <c r="B955" s="215"/>
      <c r="C955" s="215"/>
      <c r="D955" s="215"/>
      <c r="E955" s="215"/>
      <c r="F955" s="373"/>
      <c r="G955" s="215"/>
      <c r="H955" s="215"/>
      <c r="I955" s="215"/>
      <c r="J955" s="215"/>
      <c r="K955" s="215"/>
      <c r="L955" s="45" t="str">
        <f t="shared" si="1"/>
        <v/>
      </c>
      <c r="M955" s="46" t="str">
        <f>IFERROR(__xludf.DUMMYFUNCTION("IF(Account!$F955&lt;&gt;"""", VALUE(REGEXREPLACE($I955, ""\,"", ""."")), """")"),"")</f>
        <v/>
      </c>
      <c r="N955" s="47" t="str">
        <f>IF(Account!$F955&lt;&gt;"", DATEVALUE(MID($A955,4,3) &amp; LEFT($A955,3) &amp; RIGHT($A955,4)) + TIMEVALUE($B955), "")</f>
        <v/>
      </c>
      <c r="O955" s="48" t="str">
        <f>IF(Account!$F955&lt;&gt;"", DATEVALUE(MID($A955,4,3) &amp; LEFT($A955,3) &amp; RIGHT($A955,4)), "")</f>
        <v/>
      </c>
      <c r="P955" s="49" t="str">
        <f>IFERROR(VLOOKUP($Q955,Selection!$F:$G,2,false))</f>
        <v/>
      </c>
      <c r="Q955" s="50" t="str">
        <f>IF(AND($X955="change",$H955="EUR"),IF(AND($Z955="Crédit",$N955=$N956),$Q956,IF(AND($Z955="Débit",$N955=$N954),$Q954)),IF(OR(AND(OR($E955&lt;&gt;"",$L955=""),$M955&lt;&gt;0),$A955=""),IFERROR(VLOOKUP($E955,Selection!$E:$F,2,false)),IFERROR(VLOOKUP(SUBSTITUTE($I955,"-","",1),$K956:$Q1119,7,false),VLOOKUP($K955,$K956:$Q1119,7,false))))</f>
        <v/>
      </c>
      <c r="R955" s="49" t="str">
        <f t="shared" si="2"/>
        <v/>
      </c>
      <c r="S955" s="51" t="str">
        <f t="shared" si="3"/>
        <v/>
      </c>
      <c r="T955" s="52" t="str">
        <f t="shared" si="4"/>
        <v/>
      </c>
      <c r="U955" s="46" t="str">
        <f t="shared" si="5"/>
        <v/>
      </c>
      <c r="V955" s="53" t="str">
        <f>IFERROR(__xludf.DUMMYFUNCTION(" IF(Account!$F955&lt;&gt;"""", SPLIT(Account!$F955, "" ""), """")"),"")</f>
        <v/>
      </c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</row>
    <row r="956">
      <c r="A956" s="215"/>
      <c r="B956" s="215"/>
      <c r="C956" s="215"/>
      <c r="D956" s="215"/>
      <c r="E956" s="215"/>
      <c r="F956" s="373"/>
      <c r="G956" s="215"/>
      <c r="H956" s="215"/>
      <c r="I956" s="215"/>
      <c r="J956" s="215"/>
      <c r="K956" s="215"/>
      <c r="L956" s="45" t="str">
        <f t="shared" si="1"/>
        <v/>
      </c>
      <c r="M956" s="46" t="str">
        <f>IFERROR(__xludf.DUMMYFUNCTION("IF(Account!$F956&lt;&gt;"""", VALUE(REGEXREPLACE($I956, ""\,"", ""."")), """")"),"")</f>
        <v/>
      </c>
      <c r="N956" s="47" t="str">
        <f>IF(Account!$F956&lt;&gt;"", DATEVALUE(MID($A956,4,3) &amp; LEFT($A956,3) &amp; RIGHT($A956,4)) + TIMEVALUE($B956), "")</f>
        <v/>
      </c>
      <c r="O956" s="48" t="str">
        <f>IF(Account!$F956&lt;&gt;"", DATEVALUE(MID($A956,4,3) &amp; LEFT($A956,3) &amp; RIGHT($A956,4)), "")</f>
        <v/>
      </c>
      <c r="P956" s="49" t="str">
        <f>IFERROR(VLOOKUP($Q956,Selection!$F:$G,2,false))</f>
        <v/>
      </c>
      <c r="Q956" s="50" t="str">
        <f>IF(AND($X956="change",$H956="EUR"),IF(AND($Z956="Crédit",$N956=$N957),$Q957,IF(AND($Z956="Débit",$N956=$N955),$Q955)),IF(OR(AND(OR($E956&lt;&gt;"",$L956=""),$M956&lt;&gt;0),$A956=""),IFERROR(VLOOKUP($E956,Selection!$E:$F,2,false)),IFERROR(VLOOKUP(SUBSTITUTE($I956,"-","",1),$K957:$Q1119,7,false),VLOOKUP($K956,$K957:$Q1119,7,false))))</f>
        <v/>
      </c>
      <c r="R956" s="49" t="str">
        <f t="shared" si="2"/>
        <v/>
      </c>
      <c r="S956" s="51" t="str">
        <f t="shared" si="3"/>
        <v/>
      </c>
      <c r="T956" s="52" t="str">
        <f t="shared" si="4"/>
        <v/>
      </c>
      <c r="U956" s="46" t="str">
        <f t="shared" si="5"/>
        <v/>
      </c>
      <c r="V956" s="53" t="str">
        <f>IFERROR(__xludf.DUMMYFUNCTION(" IF(Account!$F956&lt;&gt;"""", SPLIT(Account!$F956, "" ""), """")"),"")</f>
        <v/>
      </c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</row>
    <row r="957">
      <c r="A957" s="215"/>
      <c r="B957" s="215"/>
      <c r="C957" s="215"/>
      <c r="D957" s="215"/>
      <c r="E957" s="215"/>
      <c r="F957" s="373"/>
      <c r="G957" s="215"/>
      <c r="H957" s="215"/>
      <c r="I957" s="215"/>
      <c r="J957" s="215"/>
      <c r="K957" s="215"/>
      <c r="L957" s="45" t="str">
        <f t="shared" si="1"/>
        <v/>
      </c>
      <c r="M957" s="46" t="str">
        <f>IFERROR(__xludf.DUMMYFUNCTION("IF(Account!$F957&lt;&gt;"""", VALUE(REGEXREPLACE($I957, ""\,"", ""."")), """")"),"")</f>
        <v/>
      </c>
      <c r="N957" s="47" t="str">
        <f>IF(Account!$F957&lt;&gt;"", DATEVALUE(MID($A957,4,3) &amp; LEFT($A957,3) &amp; RIGHT($A957,4)) + TIMEVALUE($B957), "")</f>
        <v/>
      </c>
      <c r="O957" s="48" t="str">
        <f>IF(Account!$F957&lt;&gt;"", DATEVALUE(MID($A957,4,3) &amp; LEFT($A957,3) &amp; RIGHT($A957,4)), "")</f>
        <v/>
      </c>
      <c r="P957" s="49" t="str">
        <f>IFERROR(VLOOKUP($Q957,Selection!$F:$G,2,false))</f>
        <v/>
      </c>
      <c r="Q957" s="50" t="str">
        <f>IF(AND($X957="change",$H957="EUR"),IF(AND($Z957="Crédit",$N957=$N958),$Q958,IF(AND($Z957="Débit",$N957=$N956),$Q956)),IF(OR(AND(OR($E957&lt;&gt;"",$L957=""),$M957&lt;&gt;0),$A957=""),IFERROR(VLOOKUP($E957,Selection!$E:$F,2,false)),IFERROR(VLOOKUP(SUBSTITUTE($I957,"-","",1),$K958:$Q1119,7,false),VLOOKUP($K957,$K958:$Q1119,7,false))))</f>
        <v/>
      </c>
      <c r="R957" s="49" t="str">
        <f t="shared" si="2"/>
        <v/>
      </c>
      <c r="S957" s="51" t="str">
        <f t="shared" si="3"/>
        <v/>
      </c>
      <c r="T957" s="52" t="str">
        <f t="shared" si="4"/>
        <v/>
      </c>
      <c r="U957" s="46" t="str">
        <f t="shared" si="5"/>
        <v/>
      </c>
      <c r="V957" s="53" t="str">
        <f>IFERROR(__xludf.DUMMYFUNCTION(" IF(Account!$F957&lt;&gt;"""", SPLIT(Account!$F957, "" ""), """")"),"")</f>
        <v/>
      </c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</row>
    <row r="958">
      <c r="A958" s="215"/>
      <c r="B958" s="215"/>
      <c r="C958" s="215"/>
      <c r="D958" s="215"/>
      <c r="E958" s="215"/>
      <c r="F958" s="373"/>
      <c r="G958" s="215"/>
      <c r="H958" s="215"/>
      <c r="I958" s="215"/>
      <c r="J958" s="215"/>
      <c r="K958" s="215"/>
      <c r="L958" s="45" t="str">
        <f t="shared" si="1"/>
        <v/>
      </c>
      <c r="M958" s="46" t="str">
        <f>IFERROR(__xludf.DUMMYFUNCTION("IF(Account!$F958&lt;&gt;"""", VALUE(REGEXREPLACE($I958, ""\,"", ""."")), """")"),"")</f>
        <v/>
      </c>
      <c r="N958" s="47" t="str">
        <f>IF(Account!$F958&lt;&gt;"", DATEVALUE(MID($A958,4,3) &amp; LEFT($A958,3) &amp; RIGHT($A958,4)) + TIMEVALUE($B958), "")</f>
        <v/>
      </c>
      <c r="O958" s="48" t="str">
        <f>IF(Account!$F958&lt;&gt;"", DATEVALUE(MID($A958,4,3) &amp; LEFT($A958,3) &amp; RIGHT($A958,4)), "")</f>
        <v/>
      </c>
      <c r="P958" s="49" t="str">
        <f>IFERROR(VLOOKUP($Q958,Selection!$F:$G,2,false))</f>
        <v/>
      </c>
      <c r="Q958" s="50" t="str">
        <f>IF(AND($X958="change",$H958="EUR"),IF(AND($Z958="Crédit",$N958=$N959),$Q959,IF(AND($Z958="Débit",$N958=$N957),$Q957)),IF(OR(AND(OR($E958&lt;&gt;"",$L958=""),$M958&lt;&gt;0),$A958=""),IFERROR(VLOOKUP($E958,Selection!$E:$F,2,false)),IFERROR(VLOOKUP(SUBSTITUTE($I958,"-","",1),$K959:$Q1119,7,false),VLOOKUP($K958,$K959:$Q1119,7,false))))</f>
        <v/>
      </c>
      <c r="R958" s="49" t="str">
        <f t="shared" si="2"/>
        <v/>
      </c>
      <c r="S958" s="51" t="str">
        <f t="shared" si="3"/>
        <v/>
      </c>
      <c r="T958" s="52" t="str">
        <f t="shared" si="4"/>
        <v/>
      </c>
      <c r="U958" s="46" t="str">
        <f t="shared" si="5"/>
        <v/>
      </c>
      <c r="V958" s="53" t="str">
        <f>IFERROR(__xludf.DUMMYFUNCTION(" IF(Account!$F958&lt;&gt;"""", SPLIT(Account!$F958, "" ""), """")"),"")</f>
        <v/>
      </c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</row>
    <row r="959">
      <c r="A959" s="215"/>
      <c r="B959" s="215"/>
      <c r="C959" s="215"/>
      <c r="D959" s="215"/>
      <c r="E959" s="215"/>
      <c r="F959" s="373"/>
      <c r="G959" s="215"/>
      <c r="H959" s="215"/>
      <c r="I959" s="215"/>
      <c r="J959" s="215"/>
      <c r="K959" s="215"/>
      <c r="L959" s="45" t="str">
        <f t="shared" si="1"/>
        <v/>
      </c>
      <c r="M959" s="46" t="str">
        <f>IFERROR(__xludf.DUMMYFUNCTION("IF(Account!$F959&lt;&gt;"""", VALUE(REGEXREPLACE($I959, ""\,"", ""."")), """")"),"")</f>
        <v/>
      </c>
      <c r="N959" s="47" t="str">
        <f>IF(Account!$F959&lt;&gt;"", DATEVALUE(MID($A959,4,3) &amp; LEFT($A959,3) &amp; RIGHT($A959,4)) + TIMEVALUE($B959), "")</f>
        <v/>
      </c>
      <c r="O959" s="48" t="str">
        <f>IF(Account!$F959&lt;&gt;"", DATEVALUE(MID($A959,4,3) &amp; LEFT($A959,3) &amp; RIGHT($A959,4)), "")</f>
        <v/>
      </c>
      <c r="P959" s="49" t="str">
        <f>IFERROR(VLOOKUP($Q959,Selection!$F:$G,2,false))</f>
        <v/>
      </c>
      <c r="Q959" s="50" t="str">
        <f>IF(AND($X959="change",$H959="EUR"),IF(AND($Z959="Crédit",$N959=$N960),$Q960,IF(AND($Z959="Débit",$N959=$N958),$Q958)),IF(OR(AND(OR($E959&lt;&gt;"",$L959=""),$M959&lt;&gt;0),$A959=""),IFERROR(VLOOKUP($E959,Selection!$E:$F,2,false)),IFERROR(VLOOKUP(SUBSTITUTE($I959,"-","",1),$K960:$Q1119,7,false),VLOOKUP($K959,$K960:$Q1119,7,false))))</f>
        <v/>
      </c>
      <c r="R959" s="49" t="str">
        <f t="shared" si="2"/>
        <v/>
      </c>
      <c r="S959" s="51" t="str">
        <f t="shared" si="3"/>
        <v/>
      </c>
      <c r="T959" s="52" t="str">
        <f t="shared" si="4"/>
        <v/>
      </c>
      <c r="U959" s="46" t="str">
        <f t="shared" si="5"/>
        <v/>
      </c>
      <c r="V959" s="53" t="str">
        <f>IFERROR(__xludf.DUMMYFUNCTION(" IF(Account!$F959&lt;&gt;"""", SPLIT(Account!$F959, "" ""), """")"),"")</f>
        <v/>
      </c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</row>
    <row r="960">
      <c r="A960" s="215"/>
      <c r="B960" s="215"/>
      <c r="C960" s="215"/>
      <c r="D960" s="215"/>
      <c r="E960" s="215"/>
      <c r="F960" s="373"/>
      <c r="G960" s="215"/>
      <c r="H960" s="215"/>
      <c r="I960" s="215"/>
      <c r="J960" s="215"/>
      <c r="K960" s="215"/>
      <c r="L960" s="45" t="str">
        <f t="shared" si="1"/>
        <v/>
      </c>
      <c r="M960" s="46" t="str">
        <f>IFERROR(__xludf.DUMMYFUNCTION("IF(Account!$F960&lt;&gt;"""", VALUE(REGEXREPLACE($I960, ""\,"", ""."")), """")"),"")</f>
        <v/>
      </c>
      <c r="N960" s="47" t="str">
        <f>IF(Account!$F960&lt;&gt;"", DATEVALUE(MID($A960,4,3) &amp; LEFT($A960,3) &amp; RIGHT($A960,4)) + TIMEVALUE($B960), "")</f>
        <v/>
      </c>
      <c r="O960" s="48" t="str">
        <f>IF(Account!$F960&lt;&gt;"", DATEVALUE(MID($A960,4,3) &amp; LEFT($A960,3) &amp; RIGHT($A960,4)), "")</f>
        <v/>
      </c>
      <c r="P960" s="49" t="str">
        <f>IFERROR(VLOOKUP($Q960,Selection!$F:$G,2,false))</f>
        <v/>
      </c>
      <c r="Q960" s="50" t="str">
        <f>IF(AND($X960="change",$H960="EUR"),IF(AND($Z960="Crédit",$N960=$N961),$Q961,IF(AND($Z960="Débit",$N960=$N959),$Q959)),IF(OR(AND(OR($E960&lt;&gt;"",$L960=""),$M960&lt;&gt;0),$A960=""),IFERROR(VLOOKUP($E960,Selection!$E:$F,2,false)),IFERROR(VLOOKUP(SUBSTITUTE($I960,"-","",1),$K961:$Q1119,7,false),VLOOKUP($K960,$K961:$Q1119,7,false))))</f>
        <v/>
      </c>
      <c r="R960" s="49" t="str">
        <f t="shared" si="2"/>
        <v/>
      </c>
      <c r="S960" s="51" t="str">
        <f t="shared" si="3"/>
        <v/>
      </c>
      <c r="T960" s="52" t="str">
        <f t="shared" si="4"/>
        <v/>
      </c>
      <c r="U960" s="46" t="str">
        <f t="shared" si="5"/>
        <v/>
      </c>
      <c r="V960" s="53" t="str">
        <f>IFERROR(__xludf.DUMMYFUNCTION(" IF(Account!$F960&lt;&gt;"""", SPLIT(Account!$F960, "" ""), """")"),"")</f>
        <v/>
      </c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</row>
    <row r="961">
      <c r="A961" s="215"/>
      <c r="B961" s="215"/>
      <c r="C961" s="215"/>
      <c r="D961" s="215"/>
      <c r="E961" s="215"/>
      <c r="F961" s="373"/>
      <c r="G961" s="215"/>
      <c r="H961" s="215"/>
      <c r="I961" s="215"/>
      <c r="J961" s="215"/>
      <c r="K961" s="215"/>
      <c r="L961" s="45" t="str">
        <f t="shared" si="1"/>
        <v/>
      </c>
      <c r="M961" s="46" t="str">
        <f>IFERROR(__xludf.DUMMYFUNCTION("IF(Account!$F961&lt;&gt;"""", VALUE(REGEXREPLACE($I961, ""\,"", ""."")), """")"),"")</f>
        <v/>
      </c>
      <c r="N961" s="47" t="str">
        <f>IF(Account!$F961&lt;&gt;"", DATEVALUE(MID($A961,4,3) &amp; LEFT($A961,3) &amp; RIGHT($A961,4)) + TIMEVALUE($B961), "")</f>
        <v/>
      </c>
      <c r="O961" s="48" t="str">
        <f>IF(Account!$F961&lt;&gt;"", DATEVALUE(MID($A961,4,3) &amp; LEFT($A961,3) &amp; RIGHT($A961,4)), "")</f>
        <v/>
      </c>
      <c r="P961" s="49" t="str">
        <f>IFERROR(VLOOKUP($Q961,Selection!$F:$G,2,false))</f>
        <v/>
      </c>
      <c r="Q961" s="50" t="str">
        <f>IF(AND($X961="change",$H961="EUR"),IF(AND($Z961="Crédit",$N961=$N962),$Q962,IF(AND($Z961="Débit",$N961=$N960),$Q960)),IF(OR(AND(OR($E961&lt;&gt;"",$L961=""),$M961&lt;&gt;0),$A961=""),IFERROR(VLOOKUP($E961,Selection!$E:$F,2,false)),IFERROR(VLOOKUP(SUBSTITUTE($I961,"-","",1),$K962:$Q1119,7,false),VLOOKUP($K961,$K962:$Q1119,7,false))))</f>
        <v/>
      </c>
      <c r="R961" s="49" t="str">
        <f t="shared" si="2"/>
        <v/>
      </c>
      <c r="S961" s="51" t="str">
        <f t="shared" si="3"/>
        <v/>
      </c>
      <c r="T961" s="52" t="str">
        <f t="shared" si="4"/>
        <v/>
      </c>
      <c r="U961" s="46" t="str">
        <f t="shared" si="5"/>
        <v/>
      </c>
      <c r="V961" s="53" t="str">
        <f>IFERROR(__xludf.DUMMYFUNCTION(" IF(Account!$F961&lt;&gt;"""", SPLIT(Account!$F961, "" ""), """")"),"")</f>
        <v/>
      </c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</row>
    <row r="962">
      <c r="A962" s="215"/>
      <c r="B962" s="215"/>
      <c r="C962" s="215"/>
      <c r="D962" s="215"/>
      <c r="E962" s="215"/>
      <c r="F962" s="373"/>
      <c r="G962" s="215"/>
      <c r="H962" s="215"/>
      <c r="I962" s="215"/>
      <c r="J962" s="215"/>
      <c r="K962" s="215"/>
      <c r="L962" s="45" t="str">
        <f t="shared" si="1"/>
        <v/>
      </c>
      <c r="M962" s="46" t="str">
        <f>IFERROR(__xludf.DUMMYFUNCTION("IF(Account!$F962&lt;&gt;"""", VALUE(REGEXREPLACE($I962, ""\,"", ""."")), """")"),"")</f>
        <v/>
      </c>
      <c r="N962" s="47" t="str">
        <f>IF(Account!$F962&lt;&gt;"", DATEVALUE(MID($A962,4,3) &amp; LEFT($A962,3) &amp; RIGHT($A962,4)) + TIMEVALUE($B962), "")</f>
        <v/>
      </c>
      <c r="O962" s="48" t="str">
        <f>IF(Account!$F962&lt;&gt;"", DATEVALUE(MID($A962,4,3) &amp; LEFT($A962,3) &amp; RIGHT($A962,4)), "")</f>
        <v/>
      </c>
      <c r="P962" s="49" t="str">
        <f>IFERROR(VLOOKUP($Q962,Selection!$F:$G,2,false))</f>
        <v/>
      </c>
      <c r="Q962" s="50" t="str">
        <f>IF(AND($X962="change",$H962="EUR"),IF(AND($Z962="Crédit",$N962=$N963),$Q963,IF(AND($Z962="Débit",$N962=$N961),$Q961)),IF(OR(AND(OR($E962&lt;&gt;"",$L962=""),$M962&lt;&gt;0),$A962=""),IFERROR(VLOOKUP($E962,Selection!$E:$F,2,false)),IFERROR(VLOOKUP(SUBSTITUTE($I962,"-","",1),$K963:$Q1119,7,false),VLOOKUP($K962,$K963:$Q1119,7,false))))</f>
        <v/>
      </c>
      <c r="R962" s="49" t="str">
        <f t="shared" si="2"/>
        <v/>
      </c>
      <c r="S962" s="51" t="str">
        <f t="shared" si="3"/>
        <v/>
      </c>
      <c r="T962" s="52" t="str">
        <f t="shared" si="4"/>
        <v/>
      </c>
      <c r="U962" s="46" t="str">
        <f t="shared" si="5"/>
        <v/>
      </c>
      <c r="V962" s="53" t="str">
        <f>IFERROR(__xludf.DUMMYFUNCTION(" IF(Account!$F962&lt;&gt;"""", SPLIT(Account!$F962, "" ""), """")"),"")</f>
        <v/>
      </c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</row>
    <row r="963">
      <c r="A963" s="215"/>
      <c r="B963" s="215"/>
      <c r="C963" s="215"/>
      <c r="D963" s="215"/>
      <c r="E963" s="215"/>
      <c r="F963" s="373"/>
      <c r="G963" s="215"/>
      <c r="H963" s="215"/>
      <c r="I963" s="215"/>
      <c r="J963" s="215"/>
      <c r="K963" s="215"/>
      <c r="L963" s="45" t="str">
        <f t="shared" si="1"/>
        <v/>
      </c>
      <c r="M963" s="46" t="str">
        <f>IFERROR(__xludf.DUMMYFUNCTION("IF(Account!$F963&lt;&gt;"""", VALUE(REGEXREPLACE($I963, ""\,"", ""."")), """")"),"")</f>
        <v/>
      </c>
      <c r="N963" s="47" t="str">
        <f>IF(Account!$F963&lt;&gt;"", DATEVALUE(MID($A963,4,3) &amp; LEFT($A963,3) &amp; RIGHT($A963,4)) + TIMEVALUE($B963), "")</f>
        <v/>
      </c>
      <c r="O963" s="48" t="str">
        <f>IF(Account!$F963&lt;&gt;"", DATEVALUE(MID($A963,4,3) &amp; LEFT($A963,3) &amp; RIGHT($A963,4)), "")</f>
        <v/>
      </c>
      <c r="P963" s="49" t="str">
        <f>IFERROR(VLOOKUP($Q963,Selection!$F:$G,2,false))</f>
        <v/>
      </c>
      <c r="Q963" s="50" t="str">
        <f>IF(AND($X963="change",$H963="EUR"),IF(AND($Z963="Crédit",$N963=$N964),$Q964,IF(AND($Z963="Débit",$N963=$N962),$Q962)),IF(OR(AND(OR($E963&lt;&gt;"",$L963=""),$M963&lt;&gt;0),$A963=""),IFERROR(VLOOKUP($E963,Selection!$E:$F,2,false)),IFERROR(VLOOKUP(SUBSTITUTE($I963,"-","",1),$K964:$Q1119,7,false),VLOOKUP($K963,$K964:$Q1119,7,false))))</f>
        <v/>
      </c>
      <c r="R963" s="49" t="str">
        <f t="shared" si="2"/>
        <v/>
      </c>
      <c r="S963" s="51" t="str">
        <f t="shared" si="3"/>
        <v/>
      </c>
      <c r="T963" s="52" t="str">
        <f t="shared" si="4"/>
        <v/>
      </c>
      <c r="U963" s="46" t="str">
        <f t="shared" si="5"/>
        <v/>
      </c>
      <c r="V963" s="53" t="str">
        <f>IFERROR(__xludf.DUMMYFUNCTION(" IF(Account!$F963&lt;&gt;"""", SPLIT(Account!$F963, "" ""), """")"),"")</f>
        <v/>
      </c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</row>
    <row r="964">
      <c r="A964" s="215"/>
      <c r="B964" s="215"/>
      <c r="C964" s="215"/>
      <c r="D964" s="215"/>
      <c r="E964" s="215"/>
      <c r="F964" s="373"/>
      <c r="G964" s="215"/>
      <c r="H964" s="215"/>
      <c r="I964" s="215"/>
      <c r="J964" s="215"/>
      <c r="K964" s="215"/>
      <c r="L964" s="45" t="str">
        <f t="shared" si="1"/>
        <v/>
      </c>
      <c r="M964" s="46" t="str">
        <f>IFERROR(__xludf.DUMMYFUNCTION("IF(Account!$F964&lt;&gt;"""", VALUE(REGEXREPLACE($I964, ""\,"", ""."")), """")"),"")</f>
        <v/>
      </c>
      <c r="N964" s="47" t="str">
        <f>IF(Account!$F964&lt;&gt;"", DATEVALUE(MID($A964,4,3) &amp; LEFT($A964,3) &amp; RIGHT($A964,4)) + TIMEVALUE($B964), "")</f>
        <v/>
      </c>
      <c r="O964" s="48" t="str">
        <f>IF(Account!$F964&lt;&gt;"", DATEVALUE(MID($A964,4,3) &amp; LEFT($A964,3) &amp; RIGHT($A964,4)), "")</f>
        <v/>
      </c>
      <c r="P964" s="49" t="str">
        <f>IFERROR(VLOOKUP($Q964,Selection!$F:$G,2,false))</f>
        <v/>
      </c>
      <c r="Q964" s="50" t="str">
        <f>IF(AND($X964="change",$H964="EUR"),IF(AND($Z964="Crédit",$N964=$N965),$Q965,IF(AND($Z964="Débit",$N964=$N963),$Q963)),IF(OR(AND(OR($E964&lt;&gt;"",$L964=""),$M964&lt;&gt;0),$A964=""),IFERROR(VLOOKUP($E964,Selection!$E:$F,2,false)),IFERROR(VLOOKUP(SUBSTITUTE($I964,"-","",1),$K965:$Q1119,7,false),VLOOKUP($K964,$K965:$Q1119,7,false))))</f>
        <v/>
      </c>
      <c r="R964" s="49" t="str">
        <f t="shared" si="2"/>
        <v/>
      </c>
      <c r="S964" s="51" t="str">
        <f t="shared" si="3"/>
        <v/>
      </c>
      <c r="T964" s="52" t="str">
        <f t="shared" si="4"/>
        <v/>
      </c>
      <c r="U964" s="46" t="str">
        <f t="shared" si="5"/>
        <v/>
      </c>
      <c r="V964" s="53" t="str">
        <f>IFERROR(__xludf.DUMMYFUNCTION(" IF(Account!$F964&lt;&gt;"""", SPLIT(Account!$F964, "" ""), """")"),"")</f>
        <v/>
      </c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</row>
    <row r="965">
      <c r="A965" s="215"/>
      <c r="B965" s="215"/>
      <c r="C965" s="215"/>
      <c r="D965" s="215"/>
      <c r="E965" s="215"/>
      <c r="F965" s="373"/>
      <c r="G965" s="215"/>
      <c r="H965" s="215"/>
      <c r="I965" s="215"/>
      <c r="J965" s="215"/>
      <c r="K965" s="215"/>
      <c r="L965" s="45" t="str">
        <f t="shared" si="1"/>
        <v/>
      </c>
      <c r="M965" s="46" t="str">
        <f>IFERROR(__xludf.DUMMYFUNCTION("IF(Account!$F965&lt;&gt;"""", VALUE(REGEXREPLACE($I965, ""\,"", ""."")), """")"),"")</f>
        <v/>
      </c>
      <c r="N965" s="47" t="str">
        <f>IF(Account!$F965&lt;&gt;"", DATEVALUE(MID($A965,4,3) &amp; LEFT($A965,3) &amp; RIGHT($A965,4)) + TIMEVALUE($B965), "")</f>
        <v/>
      </c>
      <c r="O965" s="48" t="str">
        <f>IF(Account!$F965&lt;&gt;"", DATEVALUE(MID($A965,4,3) &amp; LEFT($A965,3) &amp; RIGHT($A965,4)), "")</f>
        <v/>
      </c>
      <c r="P965" s="49" t="str">
        <f>IFERROR(VLOOKUP($Q965,Selection!$F:$G,2,false))</f>
        <v/>
      </c>
      <c r="Q965" s="50" t="str">
        <f>IF(AND($X965="change",$H965="EUR"),IF(AND($Z965="Crédit",$N965=$N966),$Q966,IF(AND($Z965="Débit",$N965=$N964),$Q964)),IF(OR(AND(OR($E965&lt;&gt;"",$L965=""),$M965&lt;&gt;0),$A965=""),IFERROR(VLOOKUP($E965,Selection!$E:$F,2,false)),IFERROR(VLOOKUP(SUBSTITUTE($I965,"-","",1),$K966:$Q1119,7,false),VLOOKUP($K965,$K966:$Q1119,7,false))))</f>
        <v/>
      </c>
      <c r="R965" s="49" t="str">
        <f t="shared" si="2"/>
        <v/>
      </c>
      <c r="S965" s="51" t="str">
        <f t="shared" si="3"/>
        <v/>
      </c>
      <c r="T965" s="52" t="str">
        <f t="shared" si="4"/>
        <v/>
      </c>
      <c r="U965" s="46" t="str">
        <f t="shared" si="5"/>
        <v/>
      </c>
      <c r="V965" s="53" t="str">
        <f>IFERROR(__xludf.DUMMYFUNCTION(" IF(Account!$F965&lt;&gt;"""", SPLIT(Account!$F965, "" ""), """")"),"")</f>
        <v/>
      </c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</row>
    <row r="966">
      <c r="A966" s="215"/>
      <c r="B966" s="215"/>
      <c r="C966" s="215"/>
      <c r="D966" s="215"/>
      <c r="E966" s="215"/>
      <c r="F966" s="373"/>
      <c r="G966" s="215"/>
      <c r="H966" s="215"/>
      <c r="I966" s="215"/>
      <c r="J966" s="215"/>
      <c r="K966" s="215"/>
      <c r="L966" s="45" t="str">
        <f t="shared" si="1"/>
        <v/>
      </c>
      <c r="M966" s="46" t="str">
        <f>IFERROR(__xludf.DUMMYFUNCTION("IF(Account!$F966&lt;&gt;"""", VALUE(REGEXREPLACE($I966, ""\,"", ""."")), """")"),"")</f>
        <v/>
      </c>
      <c r="N966" s="47" t="str">
        <f>IF(Account!$F966&lt;&gt;"", DATEVALUE(MID($A966,4,3) &amp; LEFT($A966,3) &amp; RIGHT($A966,4)) + TIMEVALUE($B966), "")</f>
        <v/>
      </c>
      <c r="O966" s="48" t="str">
        <f>IF(Account!$F966&lt;&gt;"", DATEVALUE(MID($A966,4,3) &amp; LEFT($A966,3) &amp; RIGHT($A966,4)), "")</f>
        <v/>
      </c>
      <c r="P966" s="49" t="str">
        <f>IFERROR(VLOOKUP($Q966,Selection!$F:$G,2,false))</f>
        <v/>
      </c>
      <c r="Q966" s="50" t="str">
        <f>IF(AND($X966="change",$H966="EUR"),IF(AND($Z966="Crédit",$N966=$N967),$Q967,IF(AND($Z966="Débit",$N966=$N965),$Q965)),IF(OR(AND(OR($E966&lt;&gt;"",$L966=""),$M966&lt;&gt;0),$A966=""),IFERROR(VLOOKUP($E966,Selection!$E:$F,2,false)),IFERROR(VLOOKUP(SUBSTITUTE($I966,"-","",1),$K967:$Q1119,7,false),VLOOKUP($K966,$K967:$Q1119,7,false))))</f>
        <v/>
      </c>
      <c r="R966" s="49" t="str">
        <f t="shared" si="2"/>
        <v/>
      </c>
      <c r="S966" s="51" t="str">
        <f t="shared" si="3"/>
        <v/>
      </c>
      <c r="T966" s="52" t="str">
        <f t="shared" si="4"/>
        <v/>
      </c>
      <c r="U966" s="46" t="str">
        <f t="shared" si="5"/>
        <v/>
      </c>
      <c r="V966" s="53" t="str">
        <f>IFERROR(__xludf.DUMMYFUNCTION(" IF(Account!$F966&lt;&gt;"""", SPLIT(Account!$F966, "" ""), """")"),"")</f>
        <v/>
      </c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</row>
    <row r="967">
      <c r="A967" s="215"/>
      <c r="B967" s="215"/>
      <c r="C967" s="215"/>
      <c r="D967" s="215"/>
      <c r="E967" s="215"/>
      <c r="F967" s="373"/>
      <c r="G967" s="215"/>
      <c r="H967" s="215"/>
      <c r="I967" s="215"/>
      <c r="J967" s="215"/>
      <c r="K967" s="215"/>
      <c r="L967" s="45" t="str">
        <f t="shared" si="1"/>
        <v/>
      </c>
      <c r="M967" s="46" t="str">
        <f>IFERROR(__xludf.DUMMYFUNCTION("IF(Account!$F967&lt;&gt;"""", VALUE(REGEXREPLACE($I967, ""\,"", ""."")), """")"),"")</f>
        <v/>
      </c>
      <c r="N967" s="47" t="str">
        <f>IF(Account!$F967&lt;&gt;"", DATEVALUE(MID($A967,4,3) &amp; LEFT($A967,3) &amp; RIGHT($A967,4)) + TIMEVALUE($B967), "")</f>
        <v/>
      </c>
      <c r="O967" s="48" t="str">
        <f>IF(Account!$F967&lt;&gt;"", DATEVALUE(MID($A967,4,3) &amp; LEFT($A967,3) &amp; RIGHT($A967,4)), "")</f>
        <v/>
      </c>
      <c r="P967" s="49" t="str">
        <f>IFERROR(VLOOKUP($Q967,Selection!$F:$G,2,false))</f>
        <v/>
      </c>
      <c r="Q967" s="50" t="str">
        <f>IF(AND($X967="change",$H967="EUR"),IF(AND($Z967="Crédit",$N967=$N968),$Q968,IF(AND($Z967="Débit",$N967=$N966),$Q966)),IF(OR(AND(OR($E967&lt;&gt;"",$L967=""),$M967&lt;&gt;0),$A967=""),IFERROR(VLOOKUP($E967,Selection!$E:$F,2,false)),IFERROR(VLOOKUP(SUBSTITUTE($I967,"-","",1),$K968:$Q1119,7,false),VLOOKUP($K967,$K968:$Q1119,7,false))))</f>
        <v/>
      </c>
      <c r="R967" s="49" t="str">
        <f t="shared" si="2"/>
        <v/>
      </c>
      <c r="S967" s="51" t="str">
        <f t="shared" si="3"/>
        <v/>
      </c>
      <c r="T967" s="52" t="str">
        <f t="shared" si="4"/>
        <v/>
      </c>
      <c r="U967" s="46" t="str">
        <f t="shared" si="5"/>
        <v/>
      </c>
      <c r="V967" s="53" t="str">
        <f>IFERROR(__xludf.DUMMYFUNCTION(" IF(Account!$F967&lt;&gt;"""", SPLIT(Account!$F967, "" ""), """")"),"")</f>
        <v/>
      </c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</row>
    <row r="968">
      <c r="A968" s="215"/>
      <c r="B968" s="215"/>
      <c r="C968" s="215"/>
      <c r="D968" s="215"/>
      <c r="E968" s="215"/>
      <c r="F968" s="373"/>
      <c r="G968" s="215"/>
      <c r="H968" s="215"/>
      <c r="I968" s="215"/>
      <c r="J968" s="215"/>
      <c r="K968" s="215"/>
      <c r="L968" s="45" t="str">
        <f t="shared" si="1"/>
        <v/>
      </c>
      <c r="M968" s="46" t="str">
        <f>IFERROR(__xludf.DUMMYFUNCTION("IF(Account!$F968&lt;&gt;"""", VALUE(REGEXREPLACE($I968, ""\,"", ""."")), """")"),"")</f>
        <v/>
      </c>
      <c r="N968" s="47" t="str">
        <f>IF(Account!$F968&lt;&gt;"", DATEVALUE(MID($A968,4,3) &amp; LEFT($A968,3) &amp; RIGHT($A968,4)) + TIMEVALUE($B968), "")</f>
        <v/>
      </c>
      <c r="O968" s="48" t="str">
        <f>IF(Account!$F968&lt;&gt;"", DATEVALUE(MID($A968,4,3) &amp; LEFT($A968,3) &amp; RIGHT($A968,4)), "")</f>
        <v/>
      </c>
      <c r="P968" s="49" t="str">
        <f>IFERROR(VLOOKUP($Q968,Selection!$F:$G,2,false))</f>
        <v/>
      </c>
      <c r="Q968" s="50" t="str">
        <f>IF(AND($X968="change",$H968="EUR"),IF(AND($Z968="Crédit",$N968=$N969),$Q969,IF(AND($Z968="Débit",$N968=$N967),$Q967)),IF(OR(AND(OR($E968&lt;&gt;"",$L968=""),$M968&lt;&gt;0),$A968=""),IFERROR(VLOOKUP($E968,Selection!$E:$F,2,false)),IFERROR(VLOOKUP(SUBSTITUTE($I968,"-","",1),$K969:$Q1119,7,false),VLOOKUP($K968,$K969:$Q1119,7,false))))</f>
        <v/>
      </c>
      <c r="R968" s="49" t="str">
        <f t="shared" si="2"/>
        <v/>
      </c>
      <c r="S968" s="51" t="str">
        <f t="shared" si="3"/>
        <v/>
      </c>
      <c r="T968" s="52" t="str">
        <f t="shared" si="4"/>
        <v/>
      </c>
      <c r="U968" s="46" t="str">
        <f t="shared" si="5"/>
        <v/>
      </c>
      <c r="V968" s="53" t="str">
        <f>IFERROR(__xludf.DUMMYFUNCTION(" IF(Account!$F968&lt;&gt;"""", SPLIT(Account!$F968, "" ""), """")"),"")</f>
        <v/>
      </c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</row>
    <row r="969">
      <c r="A969" s="215"/>
      <c r="B969" s="215"/>
      <c r="C969" s="215"/>
      <c r="D969" s="215"/>
      <c r="E969" s="215"/>
      <c r="F969" s="373"/>
      <c r="G969" s="215"/>
      <c r="H969" s="215"/>
      <c r="I969" s="215"/>
      <c r="J969" s="215"/>
      <c r="K969" s="215"/>
      <c r="L969" s="45" t="str">
        <f t="shared" si="1"/>
        <v/>
      </c>
      <c r="M969" s="46" t="str">
        <f>IFERROR(__xludf.DUMMYFUNCTION("IF(Account!$F969&lt;&gt;"""", VALUE(REGEXREPLACE($I969, ""\,"", ""."")), """")"),"")</f>
        <v/>
      </c>
      <c r="N969" s="47" t="str">
        <f>IF(Account!$F969&lt;&gt;"", DATEVALUE(MID($A969,4,3) &amp; LEFT($A969,3) &amp; RIGHT($A969,4)) + TIMEVALUE($B969), "")</f>
        <v/>
      </c>
      <c r="O969" s="48" t="str">
        <f>IF(Account!$F969&lt;&gt;"", DATEVALUE(MID($A969,4,3) &amp; LEFT($A969,3) &amp; RIGHT($A969,4)), "")</f>
        <v/>
      </c>
      <c r="P969" s="49" t="str">
        <f>IFERROR(VLOOKUP($Q969,Selection!$F:$G,2,false))</f>
        <v/>
      </c>
      <c r="Q969" s="50" t="str">
        <f>IF(AND($X969="change",$H969="EUR"),IF(AND($Z969="Crédit",$N969=$N970),$Q970,IF(AND($Z969="Débit",$N969=$N968),$Q968)),IF(OR(AND(OR($E969&lt;&gt;"",$L969=""),$M969&lt;&gt;0),$A969=""),IFERROR(VLOOKUP($E969,Selection!$E:$F,2,false)),IFERROR(VLOOKUP(SUBSTITUTE($I969,"-","",1),$K970:$Q1119,7,false),VLOOKUP($K969,$K970:$Q1119,7,false))))</f>
        <v/>
      </c>
      <c r="R969" s="49" t="str">
        <f t="shared" si="2"/>
        <v/>
      </c>
      <c r="S969" s="51" t="str">
        <f t="shared" si="3"/>
        <v/>
      </c>
      <c r="T969" s="52" t="str">
        <f t="shared" si="4"/>
        <v/>
      </c>
      <c r="U969" s="46" t="str">
        <f t="shared" si="5"/>
        <v/>
      </c>
      <c r="V969" s="53" t="str">
        <f>IFERROR(__xludf.DUMMYFUNCTION(" IF(Account!$F969&lt;&gt;"""", SPLIT(Account!$F969, "" ""), """")"),"")</f>
        <v/>
      </c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</row>
    <row r="970">
      <c r="A970" s="215"/>
      <c r="B970" s="215"/>
      <c r="C970" s="215"/>
      <c r="D970" s="215"/>
      <c r="E970" s="215"/>
      <c r="F970" s="373"/>
      <c r="G970" s="215"/>
      <c r="H970" s="215"/>
      <c r="I970" s="215"/>
      <c r="J970" s="215"/>
      <c r="K970" s="215"/>
      <c r="L970" s="45" t="str">
        <f t="shared" si="1"/>
        <v/>
      </c>
      <c r="M970" s="46" t="str">
        <f>IFERROR(__xludf.DUMMYFUNCTION("IF(Account!$F970&lt;&gt;"""", VALUE(REGEXREPLACE($I970, ""\,"", ""."")), """")"),"")</f>
        <v/>
      </c>
      <c r="N970" s="47" t="str">
        <f>IF(Account!$F970&lt;&gt;"", DATEVALUE(MID($A970,4,3) &amp; LEFT($A970,3) &amp; RIGHT($A970,4)) + TIMEVALUE($B970), "")</f>
        <v/>
      </c>
      <c r="O970" s="48" t="str">
        <f>IF(Account!$F970&lt;&gt;"", DATEVALUE(MID($A970,4,3) &amp; LEFT($A970,3) &amp; RIGHT($A970,4)), "")</f>
        <v/>
      </c>
      <c r="P970" s="49" t="str">
        <f>IFERROR(VLOOKUP($Q970,Selection!$F:$G,2,false))</f>
        <v/>
      </c>
      <c r="Q970" s="50" t="str">
        <f>IF(AND($X970="change",$H970="EUR"),IF(AND($Z970="Crédit",$N970=$N971),$Q971,IF(AND($Z970="Débit",$N970=$N969),$Q969)),IF(OR(AND(OR($E970&lt;&gt;"",$L970=""),$M970&lt;&gt;0),$A970=""),IFERROR(VLOOKUP($E970,Selection!$E:$F,2,false)),IFERROR(VLOOKUP(SUBSTITUTE($I970,"-","",1),$K971:$Q1119,7,false),VLOOKUP($K970,$K971:$Q1119,7,false))))</f>
        <v/>
      </c>
      <c r="R970" s="49" t="str">
        <f t="shared" si="2"/>
        <v/>
      </c>
      <c r="S970" s="51" t="str">
        <f t="shared" si="3"/>
        <v/>
      </c>
      <c r="T970" s="52" t="str">
        <f t="shared" si="4"/>
        <v/>
      </c>
      <c r="U970" s="46" t="str">
        <f t="shared" si="5"/>
        <v/>
      </c>
      <c r="V970" s="53" t="str">
        <f>IFERROR(__xludf.DUMMYFUNCTION(" IF(Account!$F970&lt;&gt;"""", SPLIT(Account!$F970, "" ""), """")"),"")</f>
        <v/>
      </c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</row>
    <row r="971">
      <c r="A971" s="215"/>
      <c r="B971" s="215"/>
      <c r="C971" s="215"/>
      <c r="D971" s="215"/>
      <c r="E971" s="215"/>
      <c r="F971" s="373"/>
      <c r="G971" s="215"/>
      <c r="H971" s="215"/>
      <c r="I971" s="215"/>
      <c r="J971" s="215"/>
      <c r="K971" s="215"/>
      <c r="L971" s="45" t="str">
        <f t="shared" si="1"/>
        <v/>
      </c>
      <c r="M971" s="46" t="str">
        <f>IFERROR(__xludf.DUMMYFUNCTION("IF(Account!$F971&lt;&gt;"""", VALUE(REGEXREPLACE($I971, ""\,"", ""."")), """")"),"")</f>
        <v/>
      </c>
      <c r="N971" s="47" t="str">
        <f>IF(Account!$F971&lt;&gt;"", DATEVALUE(MID($A971,4,3) &amp; LEFT($A971,3) &amp; RIGHT($A971,4)) + TIMEVALUE($B971), "")</f>
        <v/>
      </c>
      <c r="O971" s="48" t="str">
        <f>IF(Account!$F971&lt;&gt;"", DATEVALUE(MID($A971,4,3) &amp; LEFT($A971,3) &amp; RIGHT($A971,4)), "")</f>
        <v/>
      </c>
      <c r="P971" s="49" t="str">
        <f>IFERROR(VLOOKUP($Q971,Selection!$F:$G,2,false))</f>
        <v/>
      </c>
      <c r="Q971" s="50" t="str">
        <f>IF(AND($X971="change",$H971="EUR"),IF(AND($Z971="Crédit",$N971=$N972),$Q972,IF(AND($Z971="Débit",$N971=$N970),$Q970)),IF(OR(AND(OR($E971&lt;&gt;"",$L971=""),$M971&lt;&gt;0),$A971=""),IFERROR(VLOOKUP($E971,Selection!$E:$F,2,false)),IFERROR(VLOOKUP(SUBSTITUTE($I971,"-","",1),$K972:$Q1119,7,false),VLOOKUP($K971,$K972:$Q1119,7,false))))</f>
        <v/>
      </c>
      <c r="R971" s="49" t="str">
        <f t="shared" si="2"/>
        <v/>
      </c>
      <c r="S971" s="51" t="str">
        <f t="shared" si="3"/>
        <v/>
      </c>
      <c r="T971" s="52" t="str">
        <f t="shared" si="4"/>
        <v/>
      </c>
      <c r="U971" s="46" t="str">
        <f t="shared" si="5"/>
        <v/>
      </c>
      <c r="V971" s="53" t="str">
        <f>IFERROR(__xludf.DUMMYFUNCTION(" IF(Account!$F971&lt;&gt;"""", SPLIT(Account!$F971, "" ""), """")"),"")</f>
        <v/>
      </c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</row>
    <row r="972">
      <c r="A972" s="215"/>
      <c r="B972" s="215"/>
      <c r="C972" s="215"/>
      <c r="D972" s="215"/>
      <c r="E972" s="215"/>
      <c r="F972" s="373"/>
      <c r="G972" s="215"/>
      <c r="H972" s="215"/>
      <c r="I972" s="215"/>
      <c r="J972" s="215"/>
      <c r="K972" s="215"/>
      <c r="L972" s="45" t="str">
        <f t="shared" si="1"/>
        <v/>
      </c>
      <c r="M972" s="46" t="str">
        <f>IFERROR(__xludf.DUMMYFUNCTION("IF(Account!$F972&lt;&gt;"""", VALUE(REGEXREPLACE($I972, ""\,"", ""."")), """")"),"")</f>
        <v/>
      </c>
      <c r="N972" s="47" t="str">
        <f>IF(Account!$F972&lt;&gt;"", DATEVALUE(MID($A972,4,3) &amp; LEFT($A972,3) &amp; RIGHT($A972,4)) + TIMEVALUE($B972), "")</f>
        <v/>
      </c>
      <c r="O972" s="48" t="str">
        <f>IF(Account!$F972&lt;&gt;"", DATEVALUE(MID($A972,4,3) &amp; LEFT($A972,3) &amp; RIGHT($A972,4)), "")</f>
        <v/>
      </c>
      <c r="P972" s="49" t="str">
        <f>IFERROR(VLOOKUP($Q972,Selection!$F:$G,2,false))</f>
        <v/>
      </c>
      <c r="Q972" s="50" t="str">
        <f>IF(AND($X972="change",$H972="EUR"),IF(AND($Z972="Crédit",$N972=$N973),$Q973,IF(AND($Z972="Débit",$N972=$N971),$Q971)),IF(OR(AND(OR($E972&lt;&gt;"",$L972=""),$M972&lt;&gt;0),$A972=""),IFERROR(VLOOKUP($E972,Selection!$E:$F,2,false)),IFERROR(VLOOKUP(SUBSTITUTE($I972,"-","",1),$K973:$Q1119,7,false),VLOOKUP($K972,$K973:$Q1119,7,false))))</f>
        <v/>
      </c>
      <c r="R972" s="49" t="str">
        <f t="shared" si="2"/>
        <v/>
      </c>
      <c r="S972" s="51" t="str">
        <f t="shared" si="3"/>
        <v/>
      </c>
      <c r="T972" s="52" t="str">
        <f t="shared" si="4"/>
        <v/>
      </c>
      <c r="U972" s="46" t="str">
        <f t="shared" si="5"/>
        <v/>
      </c>
      <c r="V972" s="53" t="str">
        <f>IFERROR(__xludf.DUMMYFUNCTION(" IF(Account!$F972&lt;&gt;"""", SPLIT(Account!$F972, "" ""), """")"),"")</f>
        <v/>
      </c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</row>
    <row r="973">
      <c r="A973" s="215"/>
      <c r="B973" s="215"/>
      <c r="C973" s="215"/>
      <c r="D973" s="215"/>
      <c r="E973" s="215"/>
      <c r="F973" s="373"/>
      <c r="G973" s="215"/>
      <c r="H973" s="215"/>
      <c r="I973" s="215"/>
      <c r="J973" s="215"/>
      <c r="K973" s="215"/>
      <c r="L973" s="45" t="str">
        <f t="shared" si="1"/>
        <v/>
      </c>
      <c r="M973" s="46" t="str">
        <f>IFERROR(__xludf.DUMMYFUNCTION("IF(Account!$F973&lt;&gt;"""", VALUE(REGEXREPLACE($I973, ""\,"", ""."")), """")"),"")</f>
        <v/>
      </c>
      <c r="N973" s="47" t="str">
        <f>IF(Account!$F973&lt;&gt;"", DATEVALUE(MID($A973,4,3) &amp; LEFT($A973,3) &amp; RIGHT($A973,4)) + TIMEVALUE($B973), "")</f>
        <v/>
      </c>
      <c r="O973" s="48" t="str">
        <f>IF(Account!$F973&lt;&gt;"", DATEVALUE(MID($A973,4,3) &amp; LEFT($A973,3) &amp; RIGHT($A973,4)), "")</f>
        <v/>
      </c>
      <c r="P973" s="49" t="str">
        <f>IFERROR(VLOOKUP($Q973,Selection!$F:$G,2,false))</f>
        <v/>
      </c>
      <c r="Q973" s="50" t="str">
        <f>IF(AND($X973="change",$H973="EUR"),IF(AND($Z973="Crédit",$N973=$N974),$Q974,IF(AND($Z973="Débit",$N973=$N972),$Q972)),IF(OR(AND(OR($E973&lt;&gt;"",$L973=""),$M973&lt;&gt;0),$A973=""),IFERROR(VLOOKUP($E973,Selection!$E:$F,2,false)),IFERROR(VLOOKUP(SUBSTITUTE($I973,"-","",1),$K974:$Q1119,7,false),VLOOKUP($K973,$K974:$Q1119,7,false))))</f>
        <v/>
      </c>
      <c r="R973" s="49" t="str">
        <f t="shared" si="2"/>
        <v/>
      </c>
      <c r="S973" s="51" t="str">
        <f t="shared" si="3"/>
        <v/>
      </c>
      <c r="T973" s="52" t="str">
        <f t="shared" si="4"/>
        <v/>
      </c>
      <c r="U973" s="46" t="str">
        <f t="shared" si="5"/>
        <v/>
      </c>
      <c r="V973" s="53" t="str">
        <f>IFERROR(__xludf.DUMMYFUNCTION(" IF(Account!$F973&lt;&gt;"""", SPLIT(Account!$F973, "" ""), """")"),"")</f>
        <v/>
      </c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</row>
    <row r="974">
      <c r="A974" s="215"/>
      <c r="B974" s="215"/>
      <c r="C974" s="215"/>
      <c r="D974" s="215"/>
      <c r="E974" s="215"/>
      <c r="F974" s="373"/>
      <c r="G974" s="215"/>
      <c r="H974" s="215"/>
      <c r="I974" s="215"/>
      <c r="J974" s="215"/>
      <c r="K974" s="215"/>
      <c r="L974" s="45" t="str">
        <f t="shared" si="1"/>
        <v/>
      </c>
      <c r="M974" s="46" t="str">
        <f>IFERROR(__xludf.DUMMYFUNCTION("IF(Account!$F974&lt;&gt;"""", VALUE(REGEXREPLACE($I974, ""\,"", ""."")), """")"),"")</f>
        <v/>
      </c>
      <c r="N974" s="47" t="str">
        <f>IF(Account!$F974&lt;&gt;"", DATEVALUE(MID($A974,4,3) &amp; LEFT($A974,3) &amp; RIGHT($A974,4)) + TIMEVALUE($B974), "")</f>
        <v/>
      </c>
      <c r="O974" s="48" t="str">
        <f>IF(Account!$F974&lt;&gt;"", DATEVALUE(MID($A974,4,3) &amp; LEFT($A974,3) &amp; RIGHT($A974,4)), "")</f>
        <v/>
      </c>
      <c r="P974" s="49" t="str">
        <f>IFERROR(VLOOKUP($Q974,Selection!$F:$G,2,false))</f>
        <v/>
      </c>
      <c r="Q974" s="50" t="str">
        <f>IF(AND($X974="change",$H974="EUR"),IF(AND($Z974="Crédit",$N974=$N975),$Q975,IF(AND($Z974="Débit",$N974=$N973),$Q973)),IF(OR(AND(OR($E974&lt;&gt;"",$L974=""),$M974&lt;&gt;0),$A974=""),IFERROR(VLOOKUP($E974,Selection!$E:$F,2,false)),IFERROR(VLOOKUP(SUBSTITUTE($I974,"-","",1),$K975:$Q1119,7,false),VLOOKUP($K974,$K975:$Q1119,7,false))))</f>
        <v/>
      </c>
      <c r="R974" s="49" t="str">
        <f t="shared" si="2"/>
        <v/>
      </c>
      <c r="S974" s="51" t="str">
        <f t="shared" si="3"/>
        <v/>
      </c>
      <c r="T974" s="52" t="str">
        <f t="shared" si="4"/>
        <v/>
      </c>
      <c r="U974" s="46" t="str">
        <f t="shared" si="5"/>
        <v/>
      </c>
      <c r="V974" s="53" t="str">
        <f>IFERROR(__xludf.DUMMYFUNCTION(" IF(Account!$F974&lt;&gt;"""", SPLIT(Account!$F974, "" ""), """")"),"")</f>
        <v/>
      </c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</row>
    <row r="975">
      <c r="A975" s="215"/>
      <c r="B975" s="215"/>
      <c r="C975" s="215"/>
      <c r="D975" s="215"/>
      <c r="E975" s="215"/>
      <c r="F975" s="373"/>
      <c r="G975" s="215"/>
      <c r="H975" s="215"/>
      <c r="I975" s="215"/>
      <c r="J975" s="215"/>
      <c r="K975" s="215"/>
      <c r="L975" s="45" t="str">
        <f t="shared" si="1"/>
        <v/>
      </c>
      <c r="M975" s="46" t="str">
        <f>IFERROR(__xludf.DUMMYFUNCTION("IF(Account!$F975&lt;&gt;"""", VALUE(REGEXREPLACE($I975, ""\,"", ""."")), """")"),"")</f>
        <v/>
      </c>
      <c r="N975" s="47" t="str">
        <f>IF(Account!$F975&lt;&gt;"", DATEVALUE(MID($A975,4,3) &amp; LEFT($A975,3) &amp; RIGHT($A975,4)) + TIMEVALUE($B975), "")</f>
        <v/>
      </c>
      <c r="O975" s="48" t="str">
        <f>IF(Account!$F975&lt;&gt;"", DATEVALUE(MID($A975,4,3) &amp; LEFT($A975,3) &amp; RIGHT($A975,4)), "")</f>
        <v/>
      </c>
      <c r="P975" s="49" t="str">
        <f>IFERROR(VLOOKUP($Q975,Selection!$F:$G,2,false))</f>
        <v/>
      </c>
      <c r="Q975" s="50" t="str">
        <f>IF(AND($X975="change",$H975="EUR"),IF(AND($Z975="Crédit",$N975=$N976),$Q976,IF(AND($Z975="Débit",$N975=$N974),$Q974)),IF(OR(AND(OR($E975&lt;&gt;"",$L975=""),$M975&lt;&gt;0),$A975=""),IFERROR(VLOOKUP($E975,Selection!$E:$F,2,false)),IFERROR(VLOOKUP(SUBSTITUTE($I975,"-","",1),$K976:$Q1119,7,false),VLOOKUP($K975,$K976:$Q1119,7,false))))</f>
        <v/>
      </c>
      <c r="R975" s="49" t="str">
        <f t="shared" si="2"/>
        <v/>
      </c>
      <c r="S975" s="51" t="str">
        <f t="shared" si="3"/>
        <v/>
      </c>
      <c r="T975" s="52" t="str">
        <f t="shared" si="4"/>
        <v/>
      </c>
      <c r="U975" s="46" t="str">
        <f t="shared" si="5"/>
        <v/>
      </c>
      <c r="V975" s="53" t="str">
        <f>IFERROR(__xludf.DUMMYFUNCTION(" IF(Account!$F975&lt;&gt;"""", SPLIT(Account!$F975, "" ""), """")"),"")</f>
        <v/>
      </c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</row>
    <row r="976">
      <c r="A976" s="215"/>
      <c r="B976" s="215"/>
      <c r="C976" s="215"/>
      <c r="D976" s="215"/>
      <c r="E976" s="215"/>
      <c r="F976" s="373"/>
      <c r="G976" s="215"/>
      <c r="H976" s="215"/>
      <c r="I976" s="215"/>
      <c r="J976" s="215"/>
      <c r="K976" s="215"/>
      <c r="L976" s="45" t="str">
        <f t="shared" si="1"/>
        <v/>
      </c>
      <c r="M976" s="46" t="str">
        <f>IFERROR(__xludf.DUMMYFUNCTION("IF(Account!$F976&lt;&gt;"""", VALUE(REGEXREPLACE($I976, ""\,"", ""."")), """")"),"")</f>
        <v/>
      </c>
      <c r="N976" s="47" t="str">
        <f>IF(Account!$F976&lt;&gt;"", DATEVALUE(MID($A976,4,3) &amp; LEFT($A976,3) &amp; RIGHT($A976,4)) + TIMEVALUE($B976), "")</f>
        <v/>
      </c>
      <c r="O976" s="48" t="str">
        <f>IF(Account!$F976&lt;&gt;"", DATEVALUE(MID($A976,4,3) &amp; LEFT($A976,3) &amp; RIGHT($A976,4)), "")</f>
        <v/>
      </c>
      <c r="P976" s="49" t="str">
        <f>IFERROR(VLOOKUP($Q976,Selection!$F:$G,2,false))</f>
        <v/>
      </c>
      <c r="Q976" s="50" t="str">
        <f>IF(AND($X976="change",$H976="EUR"),IF(AND($Z976="Crédit",$N976=$N977),$Q977,IF(AND($Z976="Débit",$N976=$N975),$Q975)),IF(OR(AND(OR($E976&lt;&gt;"",$L976=""),$M976&lt;&gt;0),$A976=""),IFERROR(VLOOKUP($E976,Selection!$E:$F,2,false)),IFERROR(VLOOKUP(SUBSTITUTE($I976,"-","",1),$K977:$Q1119,7,false),VLOOKUP($K976,$K977:$Q1119,7,false))))</f>
        <v/>
      </c>
      <c r="R976" s="49" t="str">
        <f t="shared" si="2"/>
        <v/>
      </c>
      <c r="S976" s="51" t="str">
        <f t="shared" si="3"/>
        <v/>
      </c>
      <c r="T976" s="52" t="str">
        <f t="shared" si="4"/>
        <v/>
      </c>
      <c r="U976" s="46" t="str">
        <f t="shared" si="5"/>
        <v/>
      </c>
      <c r="V976" s="53" t="str">
        <f>IFERROR(__xludf.DUMMYFUNCTION(" IF(Account!$F976&lt;&gt;"""", SPLIT(Account!$F976, "" ""), """")"),"")</f>
        <v/>
      </c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</row>
    <row r="977">
      <c r="A977" s="215"/>
      <c r="B977" s="215"/>
      <c r="C977" s="215"/>
      <c r="D977" s="215"/>
      <c r="E977" s="215"/>
      <c r="F977" s="373"/>
      <c r="G977" s="215"/>
      <c r="H977" s="215"/>
      <c r="I977" s="215"/>
      <c r="J977" s="215"/>
      <c r="K977" s="215"/>
      <c r="L977" s="45" t="str">
        <f t="shared" si="1"/>
        <v/>
      </c>
      <c r="M977" s="46" t="str">
        <f>IFERROR(__xludf.DUMMYFUNCTION("IF(Account!$F977&lt;&gt;"""", VALUE(REGEXREPLACE($I977, ""\,"", ""."")), """")"),"")</f>
        <v/>
      </c>
      <c r="N977" s="47" t="str">
        <f>IF(Account!$F977&lt;&gt;"", DATEVALUE(MID($A977,4,3) &amp; LEFT($A977,3) &amp; RIGHT($A977,4)) + TIMEVALUE($B977), "")</f>
        <v/>
      </c>
      <c r="O977" s="48" t="str">
        <f>IF(Account!$F977&lt;&gt;"", DATEVALUE(MID($A977,4,3) &amp; LEFT($A977,3) &amp; RIGHT($A977,4)), "")</f>
        <v/>
      </c>
      <c r="P977" s="49" t="str">
        <f>IFERROR(VLOOKUP($Q977,Selection!$F:$G,2,false))</f>
        <v/>
      </c>
      <c r="Q977" s="50" t="str">
        <f>IF(AND($X977="change",$H977="EUR"),IF(AND($Z977="Crédit",$N977=$N978),$Q978,IF(AND($Z977="Débit",$N977=$N976),$Q976)),IF(OR(AND(OR($E977&lt;&gt;"",$L977=""),$M977&lt;&gt;0),$A977=""),IFERROR(VLOOKUP($E977,Selection!$E:$F,2,false)),IFERROR(VLOOKUP(SUBSTITUTE($I977,"-","",1),$K978:$Q1119,7,false),VLOOKUP($K977,$K978:$Q1119,7,false))))</f>
        <v/>
      </c>
      <c r="R977" s="49" t="str">
        <f t="shared" si="2"/>
        <v/>
      </c>
      <c r="S977" s="51" t="str">
        <f t="shared" si="3"/>
        <v/>
      </c>
      <c r="T977" s="52" t="str">
        <f t="shared" si="4"/>
        <v/>
      </c>
      <c r="U977" s="46" t="str">
        <f t="shared" si="5"/>
        <v/>
      </c>
      <c r="V977" s="53" t="str">
        <f>IFERROR(__xludf.DUMMYFUNCTION(" IF(Account!$F977&lt;&gt;"""", SPLIT(Account!$F977, "" ""), """")"),"")</f>
        <v/>
      </c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</row>
    <row r="978">
      <c r="A978" s="215"/>
      <c r="B978" s="215"/>
      <c r="C978" s="215"/>
      <c r="D978" s="215"/>
      <c r="E978" s="215"/>
      <c r="F978" s="373"/>
      <c r="G978" s="215"/>
      <c r="H978" s="215"/>
      <c r="I978" s="215"/>
      <c r="J978" s="215"/>
      <c r="K978" s="215"/>
      <c r="L978" s="45" t="str">
        <f t="shared" si="1"/>
        <v/>
      </c>
      <c r="M978" s="46" t="str">
        <f>IFERROR(__xludf.DUMMYFUNCTION("IF(Account!$F978&lt;&gt;"""", VALUE(REGEXREPLACE($I978, ""\,"", ""."")), """")"),"")</f>
        <v/>
      </c>
      <c r="N978" s="47" t="str">
        <f>IF(Account!$F978&lt;&gt;"", DATEVALUE(MID($A978,4,3) &amp; LEFT($A978,3) &amp; RIGHT($A978,4)) + TIMEVALUE($B978), "")</f>
        <v/>
      </c>
      <c r="O978" s="48" t="str">
        <f>IF(Account!$F978&lt;&gt;"", DATEVALUE(MID($A978,4,3) &amp; LEFT($A978,3) &amp; RIGHT($A978,4)), "")</f>
        <v/>
      </c>
      <c r="P978" s="49" t="str">
        <f>IFERROR(VLOOKUP($Q978,Selection!$F:$G,2,false))</f>
        <v/>
      </c>
      <c r="Q978" s="50" t="str">
        <f>IF(AND($X978="change",$H978="EUR"),IF(AND($Z978="Crédit",$N978=$N979),$Q979,IF(AND($Z978="Débit",$N978=$N977),$Q977)),IF(OR(AND(OR($E978&lt;&gt;"",$L978=""),$M978&lt;&gt;0),$A978=""),IFERROR(VLOOKUP($E978,Selection!$E:$F,2,false)),IFERROR(VLOOKUP(SUBSTITUTE($I978,"-","",1),$K979:$Q1119,7,false),VLOOKUP($K978,$K979:$Q1119,7,false))))</f>
        <v/>
      </c>
      <c r="R978" s="49" t="str">
        <f t="shared" si="2"/>
        <v/>
      </c>
      <c r="S978" s="51" t="str">
        <f t="shared" si="3"/>
        <v/>
      </c>
      <c r="T978" s="52" t="str">
        <f t="shared" si="4"/>
        <v/>
      </c>
      <c r="U978" s="46" t="str">
        <f t="shared" si="5"/>
        <v/>
      </c>
      <c r="V978" s="53" t="str">
        <f>IFERROR(__xludf.DUMMYFUNCTION(" IF(Account!$F978&lt;&gt;"""", SPLIT(Account!$F978, "" ""), """")"),"")</f>
        <v/>
      </c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</row>
    <row r="979">
      <c r="A979" s="215"/>
      <c r="B979" s="215"/>
      <c r="C979" s="215"/>
      <c r="D979" s="215"/>
      <c r="E979" s="215"/>
      <c r="F979" s="373"/>
      <c r="G979" s="215"/>
      <c r="H979" s="215"/>
      <c r="I979" s="215"/>
      <c r="J979" s="215"/>
      <c r="K979" s="215"/>
      <c r="L979" s="45" t="str">
        <f t="shared" si="1"/>
        <v/>
      </c>
      <c r="M979" s="46" t="str">
        <f>IFERROR(__xludf.DUMMYFUNCTION("IF(Account!$F979&lt;&gt;"""", VALUE(REGEXREPLACE($I979, ""\,"", ""."")), """")"),"")</f>
        <v/>
      </c>
      <c r="N979" s="47" t="str">
        <f>IF(Account!$F979&lt;&gt;"", DATEVALUE(MID($A979,4,3) &amp; LEFT($A979,3) &amp; RIGHT($A979,4)) + TIMEVALUE($B979), "")</f>
        <v/>
      </c>
      <c r="O979" s="48" t="str">
        <f>IF(Account!$F979&lt;&gt;"", DATEVALUE(MID($A979,4,3) &amp; LEFT($A979,3) &amp; RIGHT($A979,4)), "")</f>
        <v/>
      </c>
      <c r="P979" s="49" t="str">
        <f>IFERROR(VLOOKUP($Q979,Selection!$F:$G,2,false))</f>
        <v/>
      </c>
      <c r="Q979" s="50" t="str">
        <f>IF(AND($X979="change",$H979="EUR"),IF(AND($Z979="Crédit",$N979=$N980),$Q980,IF(AND($Z979="Débit",$N979=$N978),$Q978)),IF(OR(AND(OR($E979&lt;&gt;"",$L979=""),$M979&lt;&gt;0),$A979=""),IFERROR(VLOOKUP($E979,Selection!$E:$F,2,false)),IFERROR(VLOOKUP(SUBSTITUTE($I979,"-","",1),$K980:$Q1119,7,false),VLOOKUP($K979,$K980:$Q1119,7,false))))</f>
        <v/>
      </c>
      <c r="R979" s="49" t="str">
        <f t="shared" si="2"/>
        <v/>
      </c>
      <c r="S979" s="51" t="str">
        <f t="shared" si="3"/>
        <v/>
      </c>
      <c r="T979" s="52" t="str">
        <f t="shared" si="4"/>
        <v/>
      </c>
      <c r="U979" s="46" t="str">
        <f t="shared" si="5"/>
        <v/>
      </c>
      <c r="V979" s="53" t="str">
        <f>IFERROR(__xludf.DUMMYFUNCTION(" IF(Account!$F979&lt;&gt;"""", SPLIT(Account!$F979, "" ""), """")"),"")</f>
        <v/>
      </c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</row>
    <row r="980">
      <c r="A980" s="215"/>
      <c r="B980" s="215"/>
      <c r="C980" s="215"/>
      <c r="D980" s="215"/>
      <c r="E980" s="215"/>
      <c r="F980" s="373"/>
      <c r="G980" s="215"/>
      <c r="H980" s="215"/>
      <c r="I980" s="215"/>
      <c r="J980" s="215"/>
      <c r="K980" s="215"/>
      <c r="L980" s="45" t="str">
        <f t="shared" si="1"/>
        <v/>
      </c>
      <c r="M980" s="46" t="str">
        <f>IFERROR(__xludf.DUMMYFUNCTION("IF(Account!$F980&lt;&gt;"""", VALUE(REGEXREPLACE($I980, ""\,"", ""."")), """")"),"")</f>
        <v/>
      </c>
      <c r="N980" s="47" t="str">
        <f>IF(Account!$F980&lt;&gt;"", DATEVALUE(MID($A980,4,3) &amp; LEFT($A980,3) &amp; RIGHT($A980,4)) + TIMEVALUE($B980), "")</f>
        <v/>
      </c>
      <c r="O980" s="48" t="str">
        <f>IF(Account!$F980&lt;&gt;"", DATEVALUE(MID($A980,4,3) &amp; LEFT($A980,3) &amp; RIGHT($A980,4)), "")</f>
        <v/>
      </c>
      <c r="P980" s="49" t="str">
        <f>IFERROR(VLOOKUP($Q980,Selection!$F:$G,2,false))</f>
        <v/>
      </c>
      <c r="Q980" s="50" t="str">
        <f>IF(AND($X980="change",$H980="EUR"),IF(AND($Z980="Crédit",$N980=$N981),$Q981,IF(AND($Z980="Débit",$N980=$N979),$Q979)),IF(OR(AND(OR($E980&lt;&gt;"",$L980=""),$M980&lt;&gt;0),$A980=""),IFERROR(VLOOKUP($E980,Selection!$E:$F,2,false)),IFERROR(VLOOKUP(SUBSTITUTE($I980,"-","",1),$K981:$Q1119,7,false),VLOOKUP($K980,$K981:$Q1119,7,false))))</f>
        <v/>
      </c>
      <c r="R980" s="49" t="str">
        <f t="shared" si="2"/>
        <v/>
      </c>
      <c r="S980" s="51" t="str">
        <f t="shared" si="3"/>
        <v/>
      </c>
      <c r="T980" s="52" t="str">
        <f t="shared" si="4"/>
        <v/>
      </c>
      <c r="U980" s="46" t="str">
        <f t="shared" si="5"/>
        <v/>
      </c>
      <c r="V980" s="53" t="str">
        <f>IFERROR(__xludf.DUMMYFUNCTION(" IF(Account!$F980&lt;&gt;"""", SPLIT(Account!$F980, "" ""), """")"),"")</f>
        <v/>
      </c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</row>
    <row r="981">
      <c r="A981" s="215"/>
      <c r="B981" s="215"/>
      <c r="C981" s="215"/>
      <c r="D981" s="215"/>
      <c r="E981" s="215"/>
      <c r="F981" s="373"/>
      <c r="G981" s="215"/>
      <c r="H981" s="215"/>
      <c r="I981" s="215"/>
      <c r="J981" s="215"/>
      <c r="K981" s="215"/>
      <c r="L981" s="45" t="str">
        <f t="shared" si="1"/>
        <v/>
      </c>
      <c r="M981" s="46" t="str">
        <f>IFERROR(__xludf.DUMMYFUNCTION("IF(Account!$F981&lt;&gt;"""", VALUE(REGEXREPLACE($I981, ""\,"", ""."")), """")"),"")</f>
        <v/>
      </c>
      <c r="N981" s="47" t="str">
        <f>IF(Account!$F981&lt;&gt;"", DATEVALUE(MID($A981,4,3) &amp; LEFT($A981,3) &amp; RIGHT($A981,4)) + TIMEVALUE($B981), "")</f>
        <v/>
      </c>
      <c r="O981" s="48" t="str">
        <f>IF(Account!$F981&lt;&gt;"", DATEVALUE(MID($A981,4,3) &amp; LEFT($A981,3) &amp; RIGHT($A981,4)), "")</f>
        <v/>
      </c>
      <c r="P981" s="49" t="str">
        <f>IFERROR(VLOOKUP($Q981,Selection!$F:$G,2,false))</f>
        <v/>
      </c>
      <c r="Q981" s="50" t="str">
        <f>IF(AND($X981="change",$H981="EUR"),IF(AND($Z981="Crédit",$N981=$N982),$Q982,IF(AND($Z981="Débit",$N981=$N980),$Q980)),IF(OR(AND(OR($E981&lt;&gt;"",$L981=""),$M981&lt;&gt;0),$A981=""),IFERROR(VLOOKUP($E981,Selection!$E:$F,2,false)),IFERROR(VLOOKUP(SUBSTITUTE($I981,"-","",1),$K982:$Q1119,7,false),VLOOKUP($K981,$K982:$Q1119,7,false))))</f>
        <v/>
      </c>
      <c r="R981" s="49" t="str">
        <f t="shared" si="2"/>
        <v/>
      </c>
      <c r="S981" s="51" t="str">
        <f t="shared" si="3"/>
        <v/>
      </c>
      <c r="T981" s="52" t="str">
        <f t="shared" si="4"/>
        <v/>
      </c>
      <c r="U981" s="46" t="str">
        <f t="shared" si="5"/>
        <v/>
      </c>
      <c r="V981" s="53" t="str">
        <f>IFERROR(__xludf.DUMMYFUNCTION(" IF(Account!$F981&lt;&gt;"""", SPLIT(Account!$F981, "" ""), """")"),"")</f>
        <v/>
      </c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</row>
    <row r="982">
      <c r="A982" s="215"/>
      <c r="B982" s="215"/>
      <c r="C982" s="215"/>
      <c r="D982" s="215"/>
      <c r="E982" s="215"/>
      <c r="F982" s="373"/>
      <c r="G982" s="215"/>
      <c r="H982" s="215"/>
      <c r="I982" s="215"/>
      <c r="J982" s="215"/>
      <c r="K982" s="215"/>
      <c r="L982" s="45" t="str">
        <f t="shared" si="1"/>
        <v/>
      </c>
      <c r="M982" s="46" t="str">
        <f>IFERROR(__xludf.DUMMYFUNCTION("IF(Account!$F982&lt;&gt;"""", VALUE(REGEXREPLACE($I982, ""\,"", ""."")), """")"),"")</f>
        <v/>
      </c>
      <c r="N982" s="47" t="str">
        <f>IF(Account!$F982&lt;&gt;"", DATEVALUE(MID($A982,4,3) &amp; LEFT($A982,3) &amp; RIGHT($A982,4)) + TIMEVALUE($B982), "")</f>
        <v/>
      </c>
      <c r="O982" s="48" t="str">
        <f>IF(Account!$F982&lt;&gt;"", DATEVALUE(MID($A982,4,3) &amp; LEFT($A982,3) &amp; RIGHT($A982,4)), "")</f>
        <v/>
      </c>
      <c r="P982" s="49" t="str">
        <f>IFERROR(VLOOKUP($Q982,Selection!$F:$G,2,false))</f>
        <v/>
      </c>
      <c r="Q982" s="50" t="str">
        <f>IF(AND($X982="change",$H982="EUR"),IF(AND($Z982="Crédit",$N982=$N983),$Q983,IF(AND($Z982="Débit",$N982=$N981),$Q981)),IF(OR(AND(OR($E982&lt;&gt;"",$L982=""),$M982&lt;&gt;0),$A982=""),IFERROR(VLOOKUP($E982,Selection!$E:$F,2,false)),IFERROR(VLOOKUP(SUBSTITUTE($I982,"-","",1),$K983:$Q1119,7,false),VLOOKUP($K982,$K983:$Q1119,7,false))))</f>
        <v/>
      </c>
      <c r="R982" s="49" t="str">
        <f t="shared" si="2"/>
        <v/>
      </c>
      <c r="S982" s="51" t="str">
        <f t="shared" si="3"/>
        <v/>
      </c>
      <c r="T982" s="52" t="str">
        <f t="shared" si="4"/>
        <v/>
      </c>
      <c r="U982" s="46" t="str">
        <f t="shared" si="5"/>
        <v/>
      </c>
      <c r="V982" s="53" t="str">
        <f>IFERROR(__xludf.DUMMYFUNCTION(" IF(Account!$F982&lt;&gt;"""", SPLIT(Account!$F982, "" ""), """")"),"")</f>
        <v/>
      </c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</row>
    <row r="983">
      <c r="A983" s="215"/>
      <c r="B983" s="215"/>
      <c r="C983" s="215"/>
      <c r="D983" s="215"/>
      <c r="E983" s="215"/>
      <c r="F983" s="373"/>
      <c r="G983" s="215"/>
      <c r="H983" s="215"/>
      <c r="I983" s="215"/>
      <c r="J983" s="215"/>
      <c r="K983" s="215"/>
      <c r="L983" s="45" t="str">
        <f t="shared" si="1"/>
        <v/>
      </c>
      <c r="M983" s="46" t="str">
        <f>IFERROR(__xludf.DUMMYFUNCTION("IF(Account!$F983&lt;&gt;"""", VALUE(REGEXREPLACE($I983, ""\,"", ""."")), """")"),"")</f>
        <v/>
      </c>
      <c r="N983" s="47" t="str">
        <f>IF(Account!$F983&lt;&gt;"", DATEVALUE(MID($A983,4,3) &amp; LEFT($A983,3) &amp; RIGHT($A983,4)) + TIMEVALUE($B983), "")</f>
        <v/>
      </c>
      <c r="O983" s="48" t="str">
        <f>IF(Account!$F983&lt;&gt;"", DATEVALUE(MID($A983,4,3) &amp; LEFT($A983,3) &amp; RIGHT($A983,4)), "")</f>
        <v/>
      </c>
      <c r="P983" s="49" t="str">
        <f>IFERROR(VLOOKUP($Q983,Selection!$F:$G,2,false))</f>
        <v/>
      </c>
      <c r="Q983" s="50" t="str">
        <f>IF(AND($X983="change",$H983="EUR"),IF(AND($Z983="Crédit",$N983=$N984),$Q984,IF(AND($Z983="Débit",$N983=$N982),$Q982)),IF(OR(AND(OR($E983&lt;&gt;"",$L983=""),$M983&lt;&gt;0),$A983=""),IFERROR(VLOOKUP($E983,Selection!$E:$F,2,false)),IFERROR(VLOOKUP(SUBSTITUTE($I983,"-","",1),$K984:$Q1119,7,false),VLOOKUP($K983,$K984:$Q1119,7,false))))</f>
        <v/>
      </c>
      <c r="R983" s="49" t="str">
        <f t="shared" si="2"/>
        <v/>
      </c>
      <c r="S983" s="51" t="str">
        <f t="shared" si="3"/>
        <v/>
      </c>
      <c r="T983" s="52" t="str">
        <f t="shared" si="4"/>
        <v/>
      </c>
      <c r="U983" s="46" t="str">
        <f t="shared" si="5"/>
        <v/>
      </c>
      <c r="V983" s="53" t="str">
        <f>IFERROR(__xludf.DUMMYFUNCTION(" IF(Account!$F983&lt;&gt;"""", SPLIT(Account!$F983, "" ""), """")"),"")</f>
        <v/>
      </c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</row>
    <row r="984">
      <c r="A984" s="215"/>
      <c r="B984" s="215"/>
      <c r="C984" s="215"/>
      <c r="D984" s="215"/>
      <c r="E984" s="215"/>
      <c r="F984" s="373"/>
      <c r="G984" s="215"/>
      <c r="H984" s="215"/>
      <c r="I984" s="215"/>
      <c r="J984" s="215"/>
      <c r="K984" s="215"/>
      <c r="L984" s="45" t="str">
        <f t="shared" si="1"/>
        <v/>
      </c>
      <c r="M984" s="46" t="str">
        <f>IFERROR(__xludf.DUMMYFUNCTION("IF(Account!$F984&lt;&gt;"""", VALUE(REGEXREPLACE($I984, ""\,"", ""."")), """")"),"")</f>
        <v/>
      </c>
      <c r="N984" s="47" t="str">
        <f>IF(Account!$F984&lt;&gt;"", DATEVALUE(MID($A984,4,3) &amp; LEFT($A984,3) &amp; RIGHT($A984,4)) + TIMEVALUE($B984), "")</f>
        <v/>
      </c>
      <c r="O984" s="48" t="str">
        <f>IF(Account!$F984&lt;&gt;"", DATEVALUE(MID($A984,4,3) &amp; LEFT($A984,3) &amp; RIGHT($A984,4)), "")</f>
        <v/>
      </c>
      <c r="P984" s="49" t="str">
        <f>IFERROR(VLOOKUP($Q984,Selection!$F:$G,2,false))</f>
        <v/>
      </c>
      <c r="Q984" s="50" t="str">
        <f>IF(AND($X984="change",$H984="EUR"),IF(AND($Z984="Crédit",$N984=$N985),$Q985,IF(AND($Z984="Débit",$N984=$N983),$Q983)),IF(OR(AND(OR($E984&lt;&gt;"",$L984=""),$M984&lt;&gt;0),$A984=""),IFERROR(VLOOKUP($E984,Selection!$E:$F,2,false)),IFERROR(VLOOKUP(SUBSTITUTE($I984,"-","",1),$K985:$Q1119,7,false),VLOOKUP($K984,$K985:$Q1119,7,false))))</f>
        <v/>
      </c>
      <c r="R984" s="49" t="str">
        <f t="shared" si="2"/>
        <v/>
      </c>
      <c r="S984" s="51" t="str">
        <f t="shared" si="3"/>
        <v/>
      </c>
      <c r="T984" s="52" t="str">
        <f t="shared" si="4"/>
        <v/>
      </c>
      <c r="U984" s="46" t="str">
        <f t="shared" si="5"/>
        <v/>
      </c>
      <c r="V984" s="53" t="str">
        <f>IFERROR(__xludf.DUMMYFUNCTION(" IF(Account!$F984&lt;&gt;"""", SPLIT(Account!$F984, "" ""), """")"),"")</f>
        <v/>
      </c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</row>
    <row r="985">
      <c r="A985" s="215"/>
      <c r="B985" s="215"/>
      <c r="C985" s="215"/>
      <c r="D985" s="215"/>
      <c r="E985" s="215"/>
      <c r="F985" s="373"/>
      <c r="G985" s="215"/>
      <c r="H985" s="215"/>
      <c r="I985" s="215"/>
      <c r="J985" s="215"/>
      <c r="K985" s="215"/>
      <c r="L985" s="45" t="str">
        <f t="shared" si="1"/>
        <v/>
      </c>
      <c r="M985" s="46" t="str">
        <f>IFERROR(__xludf.DUMMYFUNCTION("IF(Account!$F985&lt;&gt;"""", VALUE(REGEXREPLACE($I985, ""\,"", ""."")), """")"),"")</f>
        <v/>
      </c>
      <c r="N985" s="47" t="str">
        <f>IF(Account!$F985&lt;&gt;"", DATEVALUE(MID($A985,4,3) &amp; LEFT($A985,3) &amp; RIGHT($A985,4)) + TIMEVALUE($B985), "")</f>
        <v/>
      </c>
      <c r="O985" s="48" t="str">
        <f>IF(Account!$F985&lt;&gt;"", DATEVALUE(MID($A985,4,3) &amp; LEFT($A985,3) &amp; RIGHT($A985,4)), "")</f>
        <v/>
      </c>
      <c r="P985" s="49" t="str">
        <f>IFERROR(VLOOKUP($Q985,Selection!$F:$G,2,false))</f>
        <v/>
      </c>
      <c r="Q985" s="50" t="str">
        <f>IF(AND($X985="change",$H985="EUR"),IF(AND($Z985="Crédit",$N985=$N986),$Q986,IF(AND($Z985="Débit",$N985=$N984),$Q984)),IF(OR(AND(OR($E985&lt;&gt;"",$L985=""),$M985&lt;&gt;0),$A985=""),IFERROR(VLOOKUP($E985,Selection!$E:$F,2,false)),IFERROR(VLOOKUP(SUBSTITUTE($I985,"-","",1),$K986:$Q1119,7,false),VLOOKUP($K985,$K986:$Q1119,7,false))))</f>
        <v/>
      </c>
      <c r="R985" s="49" t="str">
        <f t="shared" si="2"/>
        <v/>
      </c>
      <c r="S985" s="51" t="str">
        <f t="shared" si="3"/>
        <v/>
      </c>
      <c r="T985" s="52" t="str">
        <f t="shared" si="4"/>
        <v/>
      </c>
      <c r="U985" s="46" t="str">
        <f t="shared" si="5"/>
        <v/>
      </c>
      <c r="V985" s="53" t="str">
        <f>IFERROR(__xludf.DUMMYFUNCTION(" IF(Account!$F985&lt;&gt;"""", SPLIT(Account!$F985, "" ""), """")"),"")</f>
        <v/>
      </c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</row>
    <row r="986">
      <c r="A986" s="215"/>
      <c r="B986" s="215"/>
      <c r="C986" s="215"/>
      <c r="D986" s="215"/>
      <c r="E986" s="215"/>
      <c r="F986" s="373"/>
      <c r="G986" s="215"/>
      <c r="H986" s="215"/>
      <c r="I986" s="215"/>
      <c r="J986" s="215"/>
      <c r="K986" s="215"/>
      <c r="L986" s="45" t="str">
        <f t="shared" si="1"/>
        <v/>
      </c>
      <c r="M986" s="46" t="str">
        <f>IFERROR(__xludf.DUMMYFUNCTION("IF(Account!$F986&lt;&gt;"""", VALUE(REGEXREPLACE($I986, ""\,"", ""."")), """")"),"")</f>
        <v/>
      </c>
      <c r="N986" s="47" t="str">
        <f>IF(Account!$F986&lt;&gt;"", DATEVALUE(MID($A986,4,3) &amp; LEFT($A986,3) &amp; RIGHT($A986,4)) + TIMEVALUE($B986), "")</f>
        <v/>
      </c>
      <c r="O986" s="48" t="str">
        <f>IF(Account!$F986&lt;&gt;"", DATEVALUE(MID($A986,4,3) &amp; LEFT($A986,3) &amp; RIGHT($A986,4)), "")</f>
        <v/>
      </c>
      <c r="P986" s="49" t="str">
        <f>IFERROR(VLOOKUP($Q986,Selection!$F:$G,2,false))</f>
        <v/>
      </c>
      <c r="Q986" s="50" t="str">
        <f>IF(AND($X986="change",$H986="EUR"),IF(AND($Z986="Crédit",$N986=$N987),$Q987,IF(AND($Z986="Débit",$N986=$N985),$Q985)),IF(OR(AND(OR($E986&lt;&gt;"",$L986=""),$M986&lt;&gt;0),$A986=""),IFERROR(VLOOKUP($E986,Selection!$E:$F,2,false)),IFERROR(VLOOKUP(SUBSTITUTE($I986,"-","",1),$K987:$Q1119,7,false),VLOOKUP($K986,$K987:$Q1119,7,false))))</f>
        <v/>
      </c>
      <c r="R986" s="49" t="str">
        <f t="shared" si="2"/>
        <v/>
      </c>
      <c r="S986" s="51" t="str">
        <f t="shared" si="3"/>
        <v/>
      </c>
      <c r="T986" s="52" t="str">
        <f t="shared" si="4"/>
        <v/>
      </c>
      <c r="U986" s="46" t="str">
        <f t="shared" si="5"/>
        <v/>
      </c>
      <c r="V986" s="53" t="str">
        <f>IFERROR(__xludf.DUMMYFUNCTION(" IF(Account!$F986&lt;&gt;"""", SPLIT(Account!$F986, "" ""), """")"),"")</f>
        <v/>
      </c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</row>
    <row r="987">
      <c r="A987" s="215"/>
      <c r="B987" s="215"/>
      <c r="C987" s="215"/>
      <c r="D987" s="215"/>
      <c r="E987" s="215"/>
      <c r="F987" s="373"/>
      <c r="G987" s="215"/>
      <c r="H987" s="215"/>
      <c r="I987" s="215"/>
      <c r="J987" s="215"/>
      <c r="K987" s="215"/>
      <c r="L987" s="45" t="str">
        <f t="shared" si="1"/>
        <v/>
      </c>
      <c r="M987" s="46" t="str">
        <f>IFERROR(__xludf.DUMMYFUNCTION("IF(Account!$F987&lt;&gt;"""", VALUE(REGEXREPLACE($I987, ""\,"", ""."")), """")"),"")</f>
        <v/>
      </c>
      <c r="N987" s="47" t="str">
        <f>IF(Account!$F987&lt;&gt;"", DATEVALUE(MID($A987,4,3) &amp; LEFT($A987,3) &amp; RIGHT($A987,4)) + TIMEVALUE($B987), "")</f>
        <v/>
      </c>
      <c r="O987" s="48" t="str">
        <f>IF(Account!$F987&lt;&gt;"", DATEVALUE(MID($A987,4,3) &amp; LEFT($A987,3) &amp; RIGHT($A987,4)), "")</f>
        <v/>
      </c>
      <c r="P987" s="49" t="str">
        <f>IFERROR(VLOOKUP($Q987,Selection!$F:$G,2,false))</f>
        <v/>
      </c>
      <c r="Q987" s="50" t="str">
        <f>IF(AND($X987="change",$H987="EUR"),IF(AND($Z987="Crédit",$N987=$N988),$Q988,IF(AND($Z987="Débit",$N987=$N986),$Q986)),IF(OR(AND(OR($E987&lt;&gt;"",$L987=""),$M987&lt;&gt;0),$A987=""),IFERROR(VLOOKUP($E987,Selection!$E:$F,2,false)),IFERROR(VLOOKUP(SUBSTITUTE($I987,"-","",1),$K988:$Q1119,7,false),VLOOKUP($K987,$K988:$Q1119,7,false))))</f>
        <v/>
      </c>
      <c r="R987" s="49" t="str">
        <f t="shared" si="2"/>
        <v/>
      </c>
      <c r="S987" s="51" t="str">
        <f t="shared" si="3"/>
        <v/>
      </c>
      <c r="T987" s="52" t="str">
        <f t="shared" si="4"/>
        <v/>
      </c>
      <c r="U987" s="46" t="str">
        <f t="shared" si="5"/>
        <v/>
      </c>
      <c r="V987" s="53" t="str">
        <f>IFERROR(__xludf.DUMMYFUNCTION(" IF(Account!$F987&lt;&gt;"""", SPLIT(Account!$F987, "" ""), """")"),"")</f>
        <v/>
      </c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</row>
    <row r="988">
      <c r="A988" s="215"/>
      <c r="B988" s="215"/>
      <c r="C988" s="215"/>
      <c r="D988" s="215"/>
      <c r="E988" s="215"/>
      <c r="F988" s="373"/>
      <c r="G988" s="215"/>
      <c r="H988" s="215"/>
      <c r="I988" s="215"/>
      <c r="J988" s="215"/>
      <c r="K988" s="215"/>
      <c r="L988" s="45" t="str">
        <f t="shared" si="1"/>
        <v/>
      </c>
      <c r="M988" s="46" t="str">
        <f>IFERROR(__xludf.DUMMYFUNCTION("IF(Account!$F988&lt;&gt;"""", VALUE(REGEXREPLACE($I988, ""\,"", ""."")), """")"),"")</f>
        <v/>
      </c>
      <c r="N988" s="47" t="str">
        <f>IF(Account!$F988&lt;&gt;"", DATEVALUE(MID($A988,4,3) &amp; LEFT($A988,3) &amp; RIGHT($A988,4)) + TIMEVALUE($B988), "")</f>
        <v/>
      </c>
      <c r="O988" s="48" t="str">
        <f>IF(Account!$F988&lt;&gt;"", DATEVALUE(MID($A988,4,3) &amp; LEFT($A988,3) &amp; RIGHT($A988,4)), "")</f>
        <v/>
      </c>
      <c r="P988" s="49" t="str">
        <f>IFERROR(VLOOKUP($Q988,Selection!$F:$G,2,false))</f>
        <v/>
      </c>
      <c r="Q988" s="50" t="str">
        <f>IF(AND($X988="change",$H988="EUR"),IF(AND($Z988="Crédit",$N988=$N989),$Q989,IF(AND($Z988="Débit",$N988=$N987),$Q987)),IF(OR(AND(OR($E988&lt;&gt;"",$L988=""),$M988&lt;&gt;0),$A988=""),IFERROR(VLOOKUP($E988,Selection!$E:$F,2,false)),IFERROR(VLOOKUP(SUBSTITUTE($I988,"-","",1),$K989:$Q1119,7,false),VLOOKUP($K988,$K989:$Q1119,7,false))))</f>
        <v/>
      </c>
      <c r="R988" s="49" t="str">
        <f t="shared" si="2"/>
        <v/>
      </c>
      <c r="S988" s="51" t="str">
        <f t="shared" si="3"/>
        <v/>
      </c>
      <c r="T988" s="52" t="str">
        <f t="shared" si="4"/>
        <v/>
      </c>
      <c r="U988" s="46" t="str">
        <f t="shared" si="5"/>
        <v/>
      </c>
      <c r="V988" s="53" t="str">
        <f>IFERROR(__xludf.DUMMYFUNCTION(" IF(Account!$F988&lt;&gt;"""", SPLIT(Account!$F988, "" ""), """")"),"")</f>
        <v/>
      </c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</row>
    <row r="989">
      <c r="A989" s="215"/>
      <c r="B989" s="215"/>
      <c r="C989" s="215"/>
      <c r="D989" s="215"/>
      <c r="E989" s="215"/>
      <c r="F989" s="373"/>
      <c r="G989" s="215"/>
      <c r="H989" s="215"/>
      <c r="I989" s="215"/>
      <c r="J989" s="215"/>
      <c r="K989" s="215"/>
      <c r="L989" s="45" t="str">
        <f t="shared" si="1"/>
        <v/>
      </c>
      <c r="M989" s="46" t="str">
        <f>IFERROR(__xludf.DUMMYFUNCTION("IF(Account!$F989&lt;&gt;"""", VALUE(REGEXREPLACE($I989, ""\,"", ""."")), """")"),"")</f>
        <v/>
      </c>
      <c r="N989" s="47" t="str">
        <f>IF(Account!$F989&lt;&gt;"", DATEVALUE(MID($A989,4,3) &amp; LEFT($A989,3) &amp; RIGHT($A989,4)) + TIMEVALUE($B989), "")</f>
        <v/>
      </c>
      <c r="O989" s="48" t="str">
        <f>IF(Account!$F989&lt;&gt;"", DATEVALUE(MID($A989,4,3) &amp; LEFT($A989,3) &amp; RIGHT($A989,4)), "")</f>
        <v/>
      </c>
      <c r="P989" s="49" t="str">
        <f>IFERROR(VLOOKUP($Q989,Selection!$F:$G,2,false))</f>
        <v/>
      </c>
      <c r="Q989" s="50" t="str">
        <f>IF(AND($X989="change",$H989="EUR"),IF(AND($Z989="Crédit",$N989=$N990),$Q990,IF(AND($Z989="Débit",$N989=$N988),$Q988)),IF(OR(AND(OR($E989&lt;&gt;"",$L989=""),$M989&lt;&gt;0),$A989=""),IFERROR(VLOOKUP($E989,Selection!$E:$F,2,false)),IFERROR(VLOOKUP(SUBSTITUTE($I989,"-","",1),$K990:$Q1119,7,false),VLOOKUP($K989,$K990:$Q1119,7,false))))</f>
        <v/>
      </c>
      <c r="R989" s="49" t="str">
        <f t="shared" si="2"/>
        <v/>
      </c>
      <c r="S989" s="51" t="str">
        <f t="shared" si="3"/>
        <v/>
      </c>
      <c r="T989" s="52" t="str">
        <f t="shared" si="4"/>
        <v/>
      </c>
      <c r="U989" s="46" t="str">
        <f t="shared" si="5"/>
        <v/>
      </c>
      <c r="V989" s="53" t="str">
        <f>IFERROR(__xludf.DUMMYFUNCTION(" IF(Account!$F989&lt;&gt;"""", SPLIT(Account!$F989, "" ""), """")"),"")</f>
        <v/>
      </c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</row>
    <row r="990">
      <c r="A990" s="215"/>
      <c r="B990" s="215"/>
      <c r="C990" s="215"/>
      <c r="D990" s="215"/>
      <c r="E990" s="215"/>
      <c r="F990" s="373"/>
      <c r="G990" s="215"/>
      <c r="H990" s="215"/>
      <c r="I990" s="215"/>
      <c r="J990" s="215"/>
      <c r="K990" s="215"/>
      <c r="L990" s="45" t="str">
        <f t="shared" si="1"/>
        <v/>
      </c>
      <c r="M990" s="46" t="str">
        <f>IFERROR(__xludf.DUMMYFUNCTION("IF(Account!$F990&lt;&gt;"""", VALUE(REGEXREPLACE($I990, ""\,"", ""."")), """")"),"")</f>
        <v/>
      </c>
      <c r="N990" s="47" t="str">
        <f>IF(Account!$F990&lt;&gt;"", DATEVALUE(MID($A990,4,3) &amp; LEFT($A990,3) &amp; RIGHT($A990,4)) + TIMEVALUE($B990), "")</f>
        <v/>
      </c>
      <c r="O990" s="48" t="str">
        <f>IF(Account!$F990&lt;&gt;"", DATEVALUE(MID($A990,4,3) &amp; LEFT($A990,3) &amp; RIGHT($A990,4)), "")</f>
        <v/>
      </c>
      <c r="P990" s="49" t="str">
        <f>IFERROR(VLOOKUP($Q990,Selection!$F:$G,2,false))</f>
        <v/>
      </c>
      <c r="Q990" s="50" t="str">
        <f>IF(AND($X990="change",$H990="EUR"),IF(AND($Z990="Crédit",$N990=$N991),$Q991,IF(AND($Z990="Débit",$N990=$N989),$Q989)),IF(OR(AND(OR($E990&lt;&gt;"",$L990=""),$M990&lt;&gt;0),$A990=""),IFERROR(VLOOKUP($E990,Selection!$E:$F,2,false)),IFERROR(VLOOKUP(SUBSTITUTE($I990,"-","",1),$K991:$Q1119,7,false),VLOOKUP($K990,$K991:$Q1119,7,false))))</f>
        <v/>
      </c>
      <c r="R990" s="49" t="str">
        <f t="shared" si="2"/>
        <v/>
      </c>
      <c r="S990" s="51" t="str">
        <f t="shared" si="3"/>
        <v/>
      </c>
      <c r="T990" s="52" t="str">
        <f t="shared" si="4"/>
        <v/>
      </c>
      <c r="U990" s="46" t="str">
        <f t="shared" si="5"/>
        <v/>
      </c>
      <c r="V990" s="53" t="str">
        <f>IFERROR(__xludf.DUMMYFUNCTION(" IF(Account!$F990&lt;&gt;"""", SPLIT(Account!$F990, "" ""), """")"),"")</f>
        <v/>
      </c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</row>
    <row r="991">
      <c r="A991" s="215"/>
      <c r="B991" s="215"/>
      <c r="C991" s="215"/>
      <c r="D991" s="215"/>
      <c r="E991" s="215"/>
      <c r="F991" s="373"/>
      <c r="G991" s="215"/>
      <c r="H991" s="215"/>
      <c r="I991" s="215"/>
      <c r="J991" s="215"/>
      <c r="K991" s="215"/>
      <c r="L991" s="45" t="str">
        <f t="shared" si="1"/>
        <v/>
      </c>
      <c r="M991" s="46" t="str">
        <f>IFERROR(__xludf.DUMMYFUNCTION("IF(Account!$F991&lt;&gt;"""", VALUE(REGEXREPLACE($I991, ""\,"", ""."")), """")"),"")</f>
        <v/>
      </c>
      <c r="N991" s="47" t="str">
        <f>IF(Account!$F991&lt;&gt;"", DATEVALUE(MID($A991,4,3) &amp; LEFT($A991,3) &amp; RIGHT($A991,4)) + TIMEVALUE($B991), "")</f>
        <v/>
      </c>
      <c r="O991" s="48" t="str">
        <f>IF(Account!$F991&lt;&gt;"", DATEVALUE(MID($A991,4,3) &amp; LEFT($A991,3) &amp; RIGHT($A991,4)), "")</f>
        <v/>
      </c>
      <c r="P991" s="49" t="str">
        <f>IFERROR(VLOOKUP($Q991,Selection!$F:$G,2,false))</f>
        <v/>
      </c>
      <c r="Q991" s="50" t="str">
        <f>IF(AND($X991="change",$H991="EUR"),IF(AND($Z991="Crédit",$N991=$N992),$Q992,IF(AND($Z991="Débit",$N991=$N990),$Q990)),IF(OR(AND(OR($E991&lt;&gt;"",$L991=""),$M991&lt;&gt;0),$A991=""),IFERROR(VLOOKUP($E991,Selection!$E:$F,2,false)),IFERROR(VLOOKUP(SUBSTITUTE($I991,"-","",1),$K992:$Q1119,7,false),VLOOKUP($K991,$K992:$Q1119,7,false))))</f>
        <v/>
      </c>
      <c r="R991" s="49" t="str">
        <f t="shared" si="2"/>
        <v/>
      </c>
      <c r="S991" s="51" t="str">
        <f t="shared" si="3"/>
        <v/>
      </c>
      <c r="T991" s="52" t="str">
        <f t="shared" si="4"/>
        <v/>
      </c>
      <c r="U991" s="46" t="str">
        <f t="shared" si="5"/>
        <v/>
      </c>
      <c r="V991" s="53" t="str">
        <f>IFERROR(__xludf.DUMMYFUNCTION(" IF(Account!$F991&lt;&gt;"""", SPLIT(Account!$F991, "" ""), """")"),"")</f>
        <v/>
      </c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</row>
    <row r="992">
      <c r="A992" s="215"/>
      <c r="B992" s="215"/>
      <c r="C992" s="215"/>
      <c r="D992" s="215"/>
      <c r="E992" s="215"/>
      <c r="F992" s="373"/>
      <c r="G992" s="215"/>
      <c r="H992" s="215"/>
      <c r="I992" s="215"/>
      <c r="J992" s="215"/>
      <c r="K992" s="215"/>
      <c r="L992" s="45" t="str">
        <f t="shared" si="1"/>
        <v/>
      </c>
      <c r="M992" s="46" t="str">
        <f>IFERROR(__xludf.DUMMYFUNCTION("IF(Account!$F992&lt;&gt;"""", VALUE(REGEXREPLACE($I992, ""\,"", ""."")), """")"),"")</f>
        <v/>
      </c>
      <c r="N992" s="47" t="str">
        <f>IF(Account!$F992&lt;&gt;"", DATEVALUE(MID($A992,4,3) &amp; LEFT($A992,3) &amp; RIGHT($A992,4)) + TIMEVALUE($B992), "")</f>
        <v/>
      </c>
      <c r="O992" s="48" t="str">
        <f>IF(Account!$F992&lt;&gt;"", DATEVALUE(MID($A992,4,3) &amp; LEFT($A992,3) &amp; RIGHT($A992,4)), "")</f>
        <v/>
      </c>
      <c r="P992" s="49" t="str">
        <f>IFERROR(VLOOKUP($Q992,Selection!$F:$G,2,false))</f>
        <v/>
      </c>
      <c r="Q992" s="50" t="str">
        <f>IF(AND($X992="change",$H992="EUR"),IF(AND($Z992="Crédit",$N992=$N993),$Q993,IF(AND($Z992="Débit",$N992=$N991),$Q991)),IF(OR(AND(OR($E992&lt;&gt;"",$L992=""),$M992&lt;&gt;0),$A992=""),IFERROR(VLOOKUP($E992,Selection!$E:$F,2,false)),IFERROR(VLOOKUP(SUBSTITUTE($I992,"-","",1),$K993:$Q1119,7,false),VLOOKUP($K992,$K993:$Q1119,7,false))))</f>
        <v/>
      </c>
      <c r="R992" s="49" t="str">
        <f t="shared" si="2"/>
        <v/>
      </c>
      <c r="S992" s="51" t="str">
        <f t="shared" si="3"/>
        <v/>
      </c>
      <c r="T992" s="52" t="str">
        <f t="shared" si="4"/>
        <v/>
      </c>
      <c r="U992" s="46" t="str">
        <f t="shared" si="5"/>
        <v/>
      </c>
      <c r="V992" s="53" t="str">
        <f>IFERROR(__xludf.DUMMYFUNCTION(" IF(Account!$F992&lt;&gt;"""", SPLIT(Account!$F992, "" ""), """")"),"")</f>
        <v/>
      </c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</row>
    <row r="993">
      <c r="A993" s="215"/>
      <c r="B993" s="215"/>
      <c r="C993" s="215"/>
      <c r="D993" s="215"/>
      <c r="E993" s="215"/>
      <c r="F993" s="373"/>
      <c r="G993" s="215"/>
      <c r="H993" s="215"/>
      <c r="I993" s="215"/>
      <c r="J993" s="215"/>
      <c r="K993" s="215"/>
      <c r="L993" s="45" t="str">
        <f t="shared" si="1"/>
        <v/>
      </c>
      <c r="M993" s="46" t="str">
        <f>IFERROR(__xludf.DUMMYFUNCTION("IF(Account!$F993&lt;&gt;"""", VALUE(REGEXREPLACE($I993, ""\,"", ""."")), """")"),"")</f>
        <v/>
      </c>
      <c r="N993" s="47" t="str">
        <f>IF(Account!$F993&lt;&gt;"", DATEVALUE(MID($A993,4,3) &amp; LEFT($A993,3) &amp; RIGHT($A993,4)) + TIMEVALUE($B993), "")</f>
        <v/>
      </c>
      <c r="O993" s="48" t="str">
        <f>IF(Account!$F993&lt;&gt;"", DATEVALUE(MID($A993,4,3) &amp; LEFT($A993,3) &amp; RIGHT($A993,4)), "")</f>
        <v/>
      </c>
      <c r="P993" s="49" t="str">
        <f>IFERROR(VLOOKUP($Q993,Selection!$F:$G,2,false))</f>
        <v/>
      </c>
      <c r="Q993" s="50" t="str">
        <f>IF(AND($X993="change",$H993="EUR"),IF(AND($Z993="Crédit",$N993=$N994),$Q994,IF(AND($Z993="Débit",$N993=$N992),$Q992)),IF(OR(AND(OR($E993&lt;&gt;"",$L993=""),$M993&lt;&gt;0),$A993=""),IFERROR(VLOOKUP($E993,Selection!$E:$F,2,false)),IFERROR(VLOOKUP(SUBSTITUTE($I993,"-","",1),$K994:$Q1119,7,false),VLOOKUP($K993,$K994:$Q1119,7,false))))</f>
        <v/>
      </c>
      <c r="R993" s="49" t="str">
        <f t="shared" si="2"/>
        <v/>
      </c>
      <c r="S993" s="51" t="str">
        <f t="shared" si="3"/>
        <v/>
      </c>
      <c r="T993" s="52" t="str">
        <f t="shared" si="4"/>
        <v/>
      </c>
      <c r="U993" s="46" t="str">
        <f t="shared" si="5"/>
        <v/>
      </c>
      <c r="V993" s="53" t="str">
        <f>IFERROR(__xludf.DUMMYFUNCTION(" IF(Account!$F993&lt;&gt;"""", SPLIT(Account!$F993, "" ""), """")"),"")</f>
        <v/>
      </c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</row>
    <row r="994">
      <c r="A994" s="215"/>
      <c r="B994" s="215"/>
      <c r="C994" s="215"/>
      <c r="D994" s="215"/>
      <c r="E994" s="215"/>
      <c r="F994" s="373"/>
      <c r="G994" s="215"/>
      <c r="H994" s="215"/>
      <c r="I994" s="215"/>
      <c r="J994" s="215"/>
      <c r="K994" s="215"/>
      <c r="L994" s="45" t="str">
        <f t="shared" si="1"/>
        <v/>
      </c>
      <c r="M994" s="46" t="str">
        <f>IFERROR(__xludf.DUMMYFUNCTION("IF(Account!$F994&lt;&gt;"""", VALUE(REGEXREPLACE($I994, ""\,"", ""."")), """")"),"")</f>
        <v/>
      </c>
      <c r="N994" s="47" t="str">
        <f>IF(Account!$F994&lt;&gt;"", DATEVALUE(MID($A994,4,3) &amp; LEFT($A994,3) &amp; RIGHT($A994,4)) + TIMEVALUE($B994), "")</f>
        <v/>
      </c>
      <c r="O994" s="48" t="str">
        <f>IF(Account!$F994&lt;&gt;"", DATEVALUE(MID($A994,4,3) &amp; LEFT($A994,3) &amp; RIGHT($A994,4)), "")</f>
        <v/>
      </c>
      <c r="P994" s="49" t="str">
        <f>IFERROR(VLOOKUP($Q994,Selection!$F:$G,2,false))</f>
        <v/>
      </c>
      <c r="Q994" s="50" t="str">
        <f>IF(AND($X994="change",$H994="EUR"),IF(AND($Z994="Crédit",$N994=$N995),$Q995,IF(AND($Z994="Débit",$N994=$N993),$Q993)),IF(OR(AND(OR($E994&lt;&gt;"",$L994=""),$M994&lt;&gt;0),$A994=""),IFERROR(VLOOKUP($E994,Selection!$E:$F,2,false)),IFERROR(VLOOKUP(SUBSTITUTE($I994,"-","",1),$K995:$Q1119,7,false),VLOOKUP($K994,$K995:$Q1119,7,false))))</f>
        <v/>
      </c>
      <c r="R994" s="49" t="str">
        <f t="shared" si="2"/>
        <v/>
      </c>
      <c r="S994" s="51" t="str">
        <f t="shared" si="3"/>
        <v/>
      </c>
      <c r="T994" s="52" t="str">
        <f t="shared" si="4"/>
        <v/>
      </c>
      <c r="U994" s="46" t="str">
        <f t="shared" si="5"/>
        <v/>
      </c>
      <c r="V994" s="53" t="str">
        <f>IFERROR(__xludf.DUMMYFUNCTION(" IF(Account!$F994&lt;&gt;"""", SPLIT(Account!$F994, "" ""), """")"),"")</f>
        <v/>
      </c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</row>
    <row r="995">
      <c r="A995" s="215"/>
      <c r="B995" s="215"/>
      <c r="C995" s="215"/>
      <c r="D995" s="215"/>
      <c r="E995" s="215"/>
      <c r="F995" s="373"/>
      <c r="G995" s="215"/>
      <c r="H995" s="215"/>
      <c r="I995" s="215"/>
      <c r="J995" s="215"/>
      <c r="K995" s="215"/>
      <c r="L995" s="45" t="str">
        <f t="shared" si="1"/>
        <v/>
      </c>
      <c r="M995" s="46" t="str">
        <f>IFERROR(__xludf.DUMMYFUNCTION("IF(Account!$F995&lt;&gt;"""", VALUE(REGEXREPLACE($I995, ""\,"", ""."")), """")"),"")</f>
        <v/>
      </c>
      <c r="N995" s="47" t="str">
        <f>IF(Account!$F995&lt;&gt;"", DATEVALUE(MID($A995,4,3) &amp; LEFT($A995,3) &amp; RIGHT($A995,4)) + TIMEVALUE($B995), "")</f>
        <v/>
      </c>
      <c r="O995" s="48" t="str">
        <f>IF(Account!$F995&lt;&gt;"", DATEVALUE(MID($A995,4,3) &amp; LEFT($A995,3) &amp; RIGHT($A995,4)), "")</f>
        <v/>
      </c>
      <c r="P995" s="49" t="str">
        <f>IFERROR(VLOOKUP($Q995,Selection!$F:$G,2,false))</f>
        <v/>
      </c>
      <c r="Q995" s="50" t="str">
        <f>IF(AND($X995="change",$H995="EUR"),IF(AND($Z995="Crédit",$N995=$N996),$Q996,IF(AND($Z995="Débit",$N995=$N994),$Q994)),IF(OR(AND(OR($E995&lt;&gt;"",$L995=""),$M995&lt;&gt;0),$A995=""),IFERROR(VLOOKUP($E995,Selection!$E:$F,2,false)),IFERROR(VLOOKUP(SUBSTITUTE($I995,"-","",1),$K996:$Q1119,7,false),VLOOKUP($K995,$K996:$Q1119,7,false))))</f>
        <v/>
      </c>
      <c r="R995" s="49" t="str">
        <f t="shared" si="2"/>
        <v/>
      </c>
      <c r="S995" s="51" t="str">
        <f t="shared" si="3"/>
        <v/>
      </c>
      <c r="T995" s="52" t="str">
        <f t="shared" si="4"/>
        <v/>
      </c>
      <c r="U995" s="46" t="str">
        <f t="shared" si="5"/>
        <v/>
      </c>
      <c r="V995" s="53" t="str">
        <f>IFERROR(__xludf.DUMMYFUNCTION(" IF(Account!$F995&lt;&gt;"""", SPLIT(Account!$F995, "" ""), """")"),"")</f>
        <v/>
      </c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</row>
    <row r="996">
      <c r="A996" s="215"/>
      <c r="B996" s="215"/>
      <c r="C996" s="215"/>
      <c r="D996" s="215"/>
      <c r="E996" s="215"/>
      <c r="F996" s="373"/>
      <c r="G996" s="215"/>
      <c r="H996" s="215"/>
      <c r="I996" s="215"/>
      <c r="J996" s="215"/>
      <c r="K996" s="215"/>
      <c r="L996" s="45" t="str">
        <f t="shared" si="1"/>
        <v/>
      </c>
      <c r="M996" s="46" t="str">
        <f>IFERROR(__xludf.DUMMYFUNCTION("IF(Account!$F996&lt;&gt;"""", VALUE(REGEXREPLACE($I996, ""\,"", ""."")), """")"),"")</f>
        <v/>
      </c>
      <c r="N996" s="47" t="str">
        <f>IF(Account!$F996&lt;&gt;"", DATEVALUE(MID($A996,4,3) &amp; LEFT($A996,3) &amp; RIGHT($A996,4)) + TIMEVALUE($B996), "")</f>
        <v/>
      </c>
      <c r="O996" s="48" t="str">
        <f>IF(Account!$F996&lt;&gt;"", DATEVALUE(MID($A996,4,3) &amp; LEFT($A996,3) &amp; RIGHT($A996,4)), "")</f>
        <v/>
      </c>
      <c r="P996" s="49" t="str">
        <f>IFERROR(VLOOKUP($Q996,Selection!$F:$G,2,false))</f>
        <v/>
      </c>
      <c r="Q996" s="50" t="str">
        <f>IF(AND($X996="change",$H996="EUR"),IF(AND($Z996="Crédit",$N996=$N997),$Q997,IF(AND($Z996="Débit",$N996=$N995),$Q995)),IF(OR(AND(OR($E996&lt;&gt;"",$L996=""),$M996&lt;&gt;0),$A996=""),IFERROR(VLOOKUP($E996,Selection!$E:$F,2,false)),IFERROR(VLOOKUP(SUBSTITUTE($I996,"-","",1),$K997:$Q1119,7,false),VLOOKUP($K996,$K997:$Q1119,7,false))))</f>
        <v/>
      </c>
      <c r="R996" s="49" t="str">
        <f t="shared" si="2"/>
        <v/>
      </c>
      <c r="S996" s="51" t="str">
        <f t="shared" si="3"/>
        <v/>
      </c>
      <c r="T996" s="52" t="str">
        <f t="shared" si="4"/>
        <v/>
      </c>
      <c r="U996" s="46" t="str">
        <f t="shared" si="5"/>
        <v/>
      </c>
      <c r="V996" s="53" t="str">
        <f>IFERROR(__xludf.DUMMYFUNCTION(" IF(Account!$F996&lt;&gt;"""", SPLIT(Account!$F996, "" ""), """")"),"")</f>
        <v/>
      </c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</row>
    <row r="997">
      <c r="A997" s="215"/>
      <c r="B997" s="215"/>
      <c r="C997" s="215"/>
      <c r="D997" s="215"/>
      <c r="E997" s="215"/>
      <c r="F997" s="373"/>
      <c r="G997" s="215"/>
      <c r="H997" s="215"/>
      <c r="I997" s="215"/>
      <c r="J997" s="215"/>
      <c r="K997" s="215"/>
      <c r="L997" s="45" t="str">
        <f t="shared" si="1"/>
        <v/>
      </c>
      <c r="M997" s="46" t="str">
        <f>IFERROR(__xludf.DUMMYFUNCTION("IF(Account!$F997&lt;&gt;"""", VALUE(REGEXREPLACE($I997, ""\,"", ""."")), """")"),"")</f>
        <v/>
      </c>
      <c r="N997" s="47" t="str">
        <f>IF(Account!$F997&lt;&gt;"", DATEVALUE(MID($A997,4,3) &amp; LEFT($A997,3) &amp; RIGHT($A997,4)) + TIMEVALUE($B997), "")</f>
        <v/>
      </c>
      <c r="O997" s="48" t="str">
        <f>IF(Account!$F997&lt;&gt;"", DATEVALUE(MID($A997,4,3) &amp; LEFT($A997,3) &amp; RIGHT($A997,4)), "")</f>
        <v/>
      </c>
      <c r="P997" s="49" t="str">
        <f>IFERROR(VLOOKUP($Q997,Selection!$F:$G,2,false))</f>
        <v/>
      </c>
      <c r="Q997" s="50" t="str">
        <f>IF(AND($X997="change",$H997="EUR"),IF(AND($Z997="Crédit",$N997=$N998),$Q998,IF(AND($Z997="Débit",$N997=$N996),$Q996)),IF(OR(AND(OR($E997&lt;&gt;"",$L997=""),$M997&lt;&gt;0),$A997=""),IFERROR(VLOOKUP($E997,Selection!$E:$F,2,false)),IFERROR(VLOOKUP(SUBSTITUTE($I997,"-","",1),$K998:$Q1119,7,false),VLOOKUP($K997,$K998:$Q1119,7,false))))</f>
        <v/>
      </c>
      <c r="R997" s="49" t="str">
        <f t="shared" si="2"/>
        <v/>
      </c>
      <c r="S997" s="51" t="str">
        <f t="shared" si="3"/>
        <v/>
      </c>
      <c r="T997" s="52" t="str">
        <f t="shared" si="4"/>
        <v/>
      </c>
      <c r="U997" s="46" t="str">
        <f t="shared" si="5"/>
        <v/>
      </c>
      <c r="V997" s="53" t="str">
        <f>IFERROR(__xludf.DUMMYFUNCTION(" IF(Account!$F997&lt;&gt;"""", SPLIT(Account!$F997, "" ""), """")"),"")</f>
        <v/>
      </c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</row>
    <row r="998">
      <c r="A998" s="215"/>
      <c r="B998" s="215"/>
      <c r="C998" s="215"/>
      <c r="D998" s="215"/>
      <c r="E998" s="215"/>
      <c r="F998" s="373"/>
      <c r="G998" s="215"/>
      <c r="H998" s="215"/>
      <c r="I998" s="215"/>
      <c r="J998" s="215"/>
      <c r="K998" s="215"/>
      <c r="L998" s="45" t="str">
        <f t="shared" si="1"/>
        <v/>
      </c>
      <c r="M998" s="46" t="str">
        <f>IFERROR(__xludf.DUMMYFUNCTION("IF(Account!$F998&lt;&gt;"""", VALUE(REGEXREPLACE($I998, ""\,"", ""."")), """")"),"")</f>
        <v/>
      </c>
      <c r="N998" s="47" t="str">
        <f>IF(Account!$F998&lt;&gt;"", DATEVALUE(MID($A998,4,3) &amp; LEFT($A998,3) &amp; RIGHT($A998,4)) + TIMEVALUE($B998), "")</f>
        <v/>
      </c>
      <c r="O998" s="48" t="str">
        <f>IF(Account!$F998&lt;&gt;"", DATEVALUE(MID($A998,4,3) &amp; LEFT($A998,3) &amp; RIGHT($A998,4)), "")</f>
        <v/>
      </c>
      <c r="P998" s="49" t="str">
        <f>IFERROR(VLOOKUP($Q998,Selection!$F:$G,2,false))</f>
        <v/>
      </c>
      <c r="Q998" s="50" t="str">
        <f>IF(AND($X998="change",$H998="EUR"),IF(AND($Z998="Crédit",$N998=$N999),$Q999,IF(AND($Z998="Débit",$N998=$N997),$Q997)),IF(OR(AND(OR($E998&lt;&gt;"",$L998=""),$M998&lt;&gt;0),$A998=""),IFERROR(VLOOKUP($E998,Selection!$E:$F,2,false)),IFERROR(VLOOKUP(SUBSTITUTE($I998,"-","",1),$K999:$Q1119,7,false),VLOOKUP($K998,$K999:$Q1119,7,false))))</f>
        <v/>
      </c>
      <c r="R998" s="49" t="str">
        <f t="shared" si="2"/>
        <v/>
      </c>
      <c r="S998" s="51" t="str">
        <f t="shared" si="3"/>
        <v/>
      </c>
      <c r="T998" s="52" t="str">
        <f t="shared" si="4"/>
        <v/>
      </c>
      <c r="U998" s="46" t="str">
        <f t="shared" si="5"/>
        <v/>
      </c>
      <c r="V998" s="53" t="str">
        <f>IFERROR(__xludf.DUMMYFUNCTION(" IF(Account!$F998&lt;&gt;"""", SPLIT(Account!$F998, "" ""), """")"),"")</f>
        <v/>
      </c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</row>
    <row r="999">
      <c r="A999" s="215"/>
      <c r="B999" s="215"/>
      <c r="C999" s="215"/>
      <c r="D999" s="215"/>
      <c r="E999" s="215"/>
      <c r="F999" s="373"/>
      <c r="G999" s="215"/>
      <c r="H999" s="215"/>
      <c r="I999" s="215"/>
      <c r="J999" s="215"/>
      <c r="K999" s="215"/>
      <c r="L999" s="45" t="str">
        <f t="shared" si="1"/>
        <v/>
      </c>
      <c r="M999" s="46" t="str">
        <f>IFERROR(__xludf.DUMMYFUNCTION("IF(Account!$F999&lt;&gt;"""", VALUE(REGEXREPLACE($I999, ""\,"", ""."")), """")"),"")</f>
        <v/>
      </c>
      <c r="N999" s="47" t="str">
        <f>IF(Account!$F999&lt;&gt;"", DATEVALUE(MID($A999,4,3) &amp; LEFT($A999,3) &amp; RIGHT($A999,4)) + TIMEVALUE($B999), "")</f>
        <v/>
      </c>
      <c r="O999" s="48" t="str">
        <f>IF(Account!$F999&lt;&gt;"", DATEVALUE(MID($A999,4,3) &amp; LEFT($A999,3) &amp; RIGHT($A999,4)), "")</f>
        <v/>
      </c>
      <c r="P999" s="49" t="str">
        <f>IFERROR(VLOOKUP($Q999,Selection!$F:$G,2,false))</f>
        <v/>
      </c>
      <c r="Q999" s="50" t="str">
        <f>IF(AND($X999="change",$H999="EUR"),IF(AND($Z999="Crédit",$N999=$N1000),$Q1000,IF(AND($Z999="Débit",$N999=$N998),$Q998)),IF(OR(AND(OR($E999&lt;&gt;"",$L999=""),$M999&lt;&gt;0),$A999=""),IFERROR(VLOOKUP($E999,Selection!$E:$F,2,false)),IFERROR(VLOOKUP(SUBSTITUTE($I999,"-","",1),$K1000:$Q1119,7,false),VLOOKUP($K999,$K1000:$Q1119,7,false))))</f>
        <v/>
      </c>
      <c r="R999" s="49" t="str">
        <f t="shared" si="2"/>
        <v/>
      </c>
      <c r="S999" s="51" t="str">
        <f t="shared" si="3"/>
        <v/>
      </c>
      <c r="T999" s="52" t="str">
        <f t="shared" si="4"/>
        <v/>
      </c>
      <c r="U999" s="46" t="str">
        <f t="shared" si="5"/>
        <v/>
      </c>
      <c r="V999" s="53" t="str">
        <f>IFERROR(__xludf.DUMMYFUNCTION(" IF(Account!$F999&lt;&gt;"""", SPLIT(Account!$F999, "" ""), """")"),"")</f>
        <v/>
      </c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</row>
    <row r="1000">
      <c r="A1000" s="215"/>
      <c r="B1000" s="215"/>
      <c r="C1000" s="215"/>
      <c r="D1000" s="215"/>
      <c r="E1000" s="215"/>
      <c r="F1000" s="373"/>
      <c r="G1000" s="215"/>
      <c r="H1000" s="215"/>
      <c r="I1000" s="215"/>
      <c r="J1000" s="215"/>
      <c r="K1000" s="215"/>
      <c r="L1000" s="45" t="str">
        <f t="shared" si="1"/>
        <v/>
      </c>
      <c r="M1000" s="46" t="str">
        <f>IFERROR(__xludf.DUMMYFUNCTION("IF(Account!$F1000&lt;&gt;"""", VALUE(REGEXREPLACE($I1000, ""\,"", ""."")), """")"),"")</f>
        <v/>
      </c>
      <c r="N1000" s="47" t="str">
        <f>IF(Account!$F1000&lt;&gt;"", DATEVALUE(MID($A1000,4,3) &amp; LEFT($A1000,3) &amp; RIGHT($A1000,4)) + TIMEVALUE($B1000), "")</f>
        <v/>
      </c>
      <c r="O1000" s="48" t="str">
        <f>IF(Account!$F1000&lt;&gt;"", DATEVALUE(MID($A1000,4,3) &amp; LEFT($A1000,3) &amp; RIGHT($A1000,4)), "")</f>
        <v/>
      </c>
      <c r="P1000" s="49" t="str">
        <f>IFERROR(VLOOKUP($Q1000,Selection!$F:$G,2,false))</f>
        <v/>
      </c>
      <c r="Q1000" s="50" t="str">
        <f>IF(AND($X1000="change",$H1000="EUR"),IF(AND($Z1000="Crédit",$N1000=$N1001),$Q1001,IF(AND($Z1000="Débit",$N1000=$N999),$Q999)),IF(OR(AND(OR($E1000&lt;&gt;"",$L1000=""),$M1000&lt;&gt;0),$A1000=""),IFERROR(VLOOKUP($E1000,Selection!$E:$F,2,false)),IFERROR(VLOOKUP(SUBSTITUTE($I1000,"-","",1),$K1001:$Q1119,7,false),VLOOKUP($K1000,$K1001:$Q1119,7,false))))</f>
        <v/>
      </c>
      <c r="R1000" s="49" t="str">
        <f t="shared" si="2"/>
        <v/>
      </c>
      <c r="S1000" s="51" t="str">
        <f t="shared" si="3"/>
        <v/>
      </c>
      <c r="T1000" s="52" t="str">
        <f t="shared" si="4"/>
        <v/>
      </c>
      <c r="U1000" s="46" t="str">
        <f t="shared" si="5"/>
        <v/>
      </c>
      <c r="V1000" s="53" t="str">
        <f>IFERROR(__xludf.DUMMYFUNCTION(" IF(Account!$F1000&lt;&gt;"""", SPLIT(Account!$F1000, "" ""), """")"),"")</f>
        <v/>
      </c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</row>
    <row r="1001">
      <c r="A1001" s="215"/>
      <c r="B1001" s="215"/>
      <c r="C1001" s="215"/>
      <c r="D1001" s="215"/>
      <c r="E1001" s="215"/>
      <c r="F1001" s="373"/>
      <c r="G1001" s="215"/>
      <c r="H1001" s="215"/>
      <c r="I1001" s="215"/>
      <c r="J1001" s="215"/>
      <c r="K1001" s="215"/>
      <c r="L1001" s="45" t="str">
        <f t="shared" si="1"/>
        <v/>
      </c>
      <c r="M1001" s="46" t="str">
        <f>IFERROR(__xludf.DUMMYFUNCTION("IF(Account!$F1001&lt;&gt;"""", VALUE(REGEXREPLACE($I1001, ""\,"", ""."")), """")"),"")</f>
        <v/>
      </c>
      <c r="N1001" s="47" t="str">
        <f>IF(Account!$F1001&lt;&gt;"", DATEVALUE(MID($A1001,4,3) &amp; LEFT($A1001,3) &amp; RIGHT($A1001,4)) + TIMEVALUE($B1001), "")</f>
        <v/>
      </c>
      <c r="O1001" s="48" t="str">
        <f>IF(Account!$F1001&lt;&gt;"", DATEVALUE(MID($A1001,4,3) &amp; LEFT($A1001,3) &amp; RIGHT($A1001,4)), "")</f>
        <v/>
      </c>
      <c r="P1001" s="49" t="str">
        <f>IFERROR(VLOOKUP($Q1001,Selection!$F:$G,2,false))</f>
        <v/>
      </c>
      <c r="Q1001" s="50" t="str">
        <f>IF(AND($X1001="change",$H1001="EUR"),IF(AND($Z1001="Crédit",$N1001=$N1002),$Q1002,IF(AND($Z1001="Débit",$N1001=$N1000),$Q1000)),IF(OR(AND(OR($E1001&lt;&gt;"",$L1001=""),$M1001&lt;&gt;0),$A1001=""),IFERROR(VLOOKUP($E1001,Selection!$E:$F,2,false)),IFERROR(VLOOKUP(SUBSTITUTE($I1001,"-","",1),$K1002:$Q1119,7,false),VLOOKUP($K1001,$K1002:$Q1119,7,false))))</f>
        <v/>
      </c>
      <c r="R1001" s="49" t="str">
        <f t="shared" si="2"/>
        <v/>
      </c>
      <c r="S1001" s="51" t="str">
        <f t="shared" si="3"/>
        <v/>
      </c>
      <c r="T1001" s="52" t="str">
        <f t="shared" si="4"/>
        <v/>
      </c>
      <c r="U1001" s="46" t="str">
        <f t="shared" si="5"/>
        <v/>
      </c>
      <c r="V1001" s="53" t="str">
        <f>IFERROR(__xludf.DUMMYFUNCTION(" IF(Account!$F1001&lt;&gt;"""", SPLIT(Account!$F1001, "" ""), """")"),"")</f>
        <v/>
      </c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4"/>
      <c r="AI1001" s="54"/>
      <c r="AJ1001" s="54"/>
    </row>
    <row r="1002">
      <c r="A1002" s="215"/>
      <c r="B1002" s="215"/>
      <c r="C1002" s="215"/>
      <c r="D1002" s="215"/>
      <c r="E1002" s="215"/>
      <c r="F1002" s="373"/>
      <c r="G1002" s="215"/>
      <c r="H1002" s="215"/>
      <c r="I1002" s="215"/>
      <c r="J1002" s="215"/>
      <c r="K1002" s="215"/>
      <c r="L1002" s="45" t="str">
        <f t="shared" si="1"/>
        <v/>
      </c>
      <c r="M1002" s="46" t="str">
        <f>IFERROR(__xludf.DUMMYFUNCTION("IF(Account!$F1002&lt;&gt;"""", VALUE(REGEXREPLACE($I1002, ""\,"", ""."")), """")"),"")</f>
        <v/>
      </c>
      <c r="N1002" s="47" t="str">
        <f>IF(Account!$F1002&lt;&gt;"", DATEVALUE(MID($A1002,4,3) &amp; LEFT($A1002,3) &amp; RIGHT($A1002,4)) + TIMEVALUE($B1002), "")</f>
        <v/>
      </c>
      <c r="O1002" s="48" t="str">
        <f>IF(Account!$F1002&lt;&gt;"", DATEVALUE(MID($A1002,4,3) &amp; LEFT($A1002,3) &amp; RIGHT($A1002,4)), "")</f>
        <v/>
      </c>
      <c r="P1002" s="49" t="str">
        <f>IFERROR(VLOOKUP($Q1002,Selection!$F:$G,2,false))</f>
        <v/>
      </c>
      <c r="Q1002" s="50" t="str">
        <f>IF(AND($X1002="change",$H1002="EUR"),IF(AND($Z1002="Crédit",$N1002=$N1003),$Q1003,IF(AND($Z1002="Débit",$N1002=$N1001),$Q1001)),IF(OR(AND(OR($E1002&lt;&gt;"",$L1002=""),$M1002&lt;&gt;0),$A1002=""),IFERROR(VLOOKUP($E1002,Selection!$E:$F,2,false)),IFERROR(VLOOKUP(SUBSTITUTE($I1002,"-","",1),$K1003:$Q1119,7,false),VLOOKUP($K1002,$K1003:$Q1119,7,false))))</f>
        <v/>
      </c>
      <c r="R1002" s="49" t="str">
        <f t="shared" si="2"/>
        <v/>
      </c>
      <c r="S1002" s="51" t="str">
        <f t="shared" si="3"/>
        <v/>
      </c>
      <c r="T1002" s="52" t="str">
        <f t="shared" si="4"/>
        <v/>
      </c>
      <c r="U1002" s="46" t="str">
        <f t="shared" si="5"/>
        <v/>
      </c>
      <c r="V1002" s="53" t="str">
        <f>IFERROR(__xludf.DUMMYFUNCTION(" IF(Account!$F1002&lt;&gt;"""", SPLIT(Account!$F1002, "" ""), """")"),"")</f>
        <v/>
      </c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  <c r="AH1002" s="54"/>
      <c r="AI1002" s="54"/>
      <c r="AJ1002" s="54"/>
    </row>
    <row r="1003">
      <c r="A1003" s="215"/>
      <c r="B1003" s="215"/>
      <c r="C1003" s="215"/>
      <c r="D1003" s="215"/>
      <c r="E1003" s="215"/>
      <c r="F1003" s="373"/>
      <c r="G1003" s="215"/>
      <c r="H1003" s="215"/>
      <c r="I1003" s="215"/>
      <c r="J1003" s="215"/>
      <c r="K1003" s="215"/>
      <c r="L1003" s="45" t="str">
        <f t="shared" si="1"/>
        <v/>
      </c>
      <c r="M1003" s="46" t="str">
        <f>IFERROR(__xludf.DUMMYFUNCTION("IF(Account!$F1003&lt;&gt;"""", VALUE(REGEXREPLACE($I1003, ""\,"", ""."")), """")"),"")</f>
        <v/>
      </c>
      <c r="N1003" s="47" t="str">
        <f>IF(Account!$F1003&lt;&gt;"", DATEVALUE(MID($A1003,4,3) &amp; LEFT($A1003,3) &amp; RIGHT($A1003,4)) + TIMEVALUE($B1003), "")</f>
        <v/>
      </c>
      <c r="O1003" s="48" t="str">
        <f>IF(Account!$F1003&lt;&gt;"", DATEVALUE(MID($A1003,4,3) &amp; LEFT($A1003,3) &amp; RIGHT($A1003,4)), "")</f>
        <v/>
      </c>
      <c r="P1003" s="49" t="str">
        <f>IFERROR(VLOOKUP($Q1003,Selection!$F:$G,2,false))</f>
        <v/>
      </c>
      <c r="Q1003" s="50" t="str">
        <f>IF(AND($X1003="change",$H1003="EUR"),IF(AND($Z1003="Crédit",$N1003=$N1004),$Q1004,IF(AND($Z1003="Débit",$N1003=$N1002),$Q1002)),IF(OR(AND(OR($E1003&lt;&gt;"",$L1003=""),$M1003&lt;&gt;0),$A1003=""),IFERROR(VLOOKUP($E1003,Selection!$E:$F,2,false)),IFERROR(VLOOKUP(SUBSTITUTE($I1003,"-","",1),$K1004:$Q1119,7,false),VLOOKUP($K1003,$K1004:$Q1119,7,false))))</f>
        <v/>
      </c>
      <c r="R1003" s="49" t="str">
        <f t="shared" si="2"/>
        <v/>
      </c>
      <c r="S1003" s="51" t="str">
        <f t="shared" si="3"/>
        <v/>
      </c>
      <c r="T1003" s="52" t="str">
        <f t="shared" si="4"/>
        <v/>
      </c>
      <c r="U1003" s="46" t="str">
        <f t="shared" si="5"/>
        <v/>
      </c>
      <c r="V1003" s="53" t="str">
        <f>IFERROR(__xludf.DUMMYFUNCTION(" IF(Account!$F1003&lt;&gt;"""", SPLIT(Account!$F1003, "" ""), """")"),"")</f>
        <v/>
      </c>
      <c r="W1003" s="54"/>
      <c r="X1003" s="54"/>
      <c r="Y1003" s="54"/>
      <c r="Z1003" s="54"/>
      <c r="AA1003" s="54"/>
      <c r="AB1003" s="54"/>
      <c r="AC1003" s="54"/>
      <c r="AD1003" s="54"/>
      <c r="AE1003" s="54"/>
      <c r="AF1003" s="54"/>
      <c r="AG1003" s="54"/>
      <c r="AH1003" s="54"/>
      <c r="AI1003" s="54"/>
      <c r="AJ1003" s="54"/>
    </row>
    <row r="1004">
      <c r="A1004" s="215"/>
      <c r="B1004" s="215"/>
      <c r="C1004" s="215"/>
      <c r="D1004" s="215"/>
      <c r="E1004" s="215"/>
      <c r="F1004" s="373"/>
      <c r="G1004" s="215"/>
      <c r="H1004" s="215"/>
      <c r="I1004" s="215"/>
      <c r="J1004" s="215"/>
      <c r="K1004" s="215"/>
      <c r="L1004" s="45" t="str">
        <f t="shared" si="1"/>
        <v/>
      </c>
      <c r="M1004" s="46" t="str">
        <f>IFERROR(__xludf.DUMMYFUNCTION("IF(Account!$F1004&lt;&gt;"""", VALUE(REGEXREPLACE($I1004, ""\,"", ""."")), """")"),"")</f>
        <v/>
      </c>
      <c r="N1004" s="47" t="str">
        <f>IF(Account!$F1004&lt;&gt;"", DATEVALUE(MID($A1004,4,3) &amp; LEFT($A1004,3) &amp; RIGHT($A1004,4)) + TIMEVALUE($B1004), "")</f>
        <v/>
      </c>
      <c r="O1004" s="48" t="str">
        <f>IF(Account!$F1004&lt;&gt;"", DATEVALUE(MID($A1004,4,3) &amp; LEFT($A1004,3) &amp; RIGHT($A1004,4)), "")</f>
        <v/>
      </c>
      <c r="P1004" s="49" t="str">
        <f>IFERROR(VLOOKUP($Q1004,Selection!$F:$G,2,false))</f>
        <v/>
      </c>
      <c r="Q1004" s="50" t="str">
        <f>IF(AND($X1004="change",$H1004="EUR"),IF(AND($Z1004="Crédit",$N1004=$N1005),$Q1005,IF(AND($Z1004="Débit",$N1004=$N1003),$Q1003)),IF(OR(AND(OR($E1004&lt;&gt;"",$L1004=""),$M1004&lt;&gt;0),$A1004=""),IFERROR(VLOOKUP($E1004,Selection!$E:$F,2,false)),IFERROR(VLOOKUP(SUBSTITUTE($I1004,"-","",1),$K1005:$Q1119,7,false),VLOOKUP($K1004,$K1005:$Q1119,7,false))))</f>
        <v/>
      </c>
      <c r="R1004" s="49" t="str">
        <f t="shared" si="2"/>
        <v/>
      </c>
      <c r="S1004" s="51" t="str">
        <f t="shared" si="3"/>
        <v/>
      </c>
      <c r="T1004" s="52" t="str">
        <f t="shared" si="4"/>
        <v/>
      </c>
      <c r="U1004" s="46" t="str">
        <f t="shared" si="5"/>
        <v/>
      </c>
      <c r="V1004" s="53" t="str">
        <f>IFERROR(__xludf.DUMMYFUNCTION(" IF(Account!$F1004&lt;&gt;"""", SPLIT(Account!$F1004, "" ""), """")"),"")</f>
        <v/>
      </c>
      <c r="W1004" s="54"/>
      <c r="X1004" s="54"/>
      <c r="Y1004" s="54"/>
      <c r="Z1004" s="54"/>
      <c r="AA1004" s="54"/>
      <c r="AB1004" s="54"/>
      <c r="AC1004" s="54"/>
      <c r="AD1004" s="54"/>
      <c r="AE1004" s="54"/>
      <c r="AF1004" s="54"/>
      <c r="AG1004" s="54"/>
      <c r="AH1004" s="54"/>
      <c r="AI1004" s="54"/>
      <c r="AJ1004" s="54"/>
    </row>
    <row r="1005">
      <c r="A1005" s="215"/>
      <c r="B1005" s="215"/>
      <c r="C1005" s="215"/>
      <c r="D1005" s="215"/>
      <c r="E1005" s="215"/>
      <c r="F1005" s="373"/>
      <c r="G1005" s="215"/>
      <c r="H1005" s="215"/>
      <c r="I1005" s="215"/>
      <c r="J1005" s="215"/>
      <c r="K1005" s="215"/>
      <c r="L1005" s="45" t="str">
        <f t="shared" si="1"/>
        <v/>
      </c>
      <c r="M1005" s="46" t="str">
        <f>IFERROR(__xludf.DUMMYFUNCTION("IF(Account!$F1005&lt;&gt;"""", VALUE(REGEXREPLACE($I1005, ""\,"", ""."")), """")"),"")</f>
        <v/>
      </c>
      <c r="N1005" s="47" t="str">
        <f>IF(Account!$F1005&lt;&gt;"", DATEVALUE(MID($A1005,4,3) &amp; LEFT($A1005,3) &amp; RIGHT($A1005,4)) + TIMEVALUE($B1005), "")</f>
        <v/>
      </c>
      <c r="O1005" s="48" t="str">
        <f>IF(Account!$F1005&lt;&gt;"", DATEVALUE(MID($A1005,4,3) &amp; LEFT($A1005,3) &amp; RIGHT($A1005,4)), "")</f>
        <v/>
      </c>
      <c r="P1005" s="49" t="str">
        <f>IFERROR(VLOOKUP($Q1005,Selection!$F:$G,2,false))</f>
        <v/>
      </c>
      <c r="Q1005" s="50" t="str">
        <f>IF(AND($X1005="change",$H1005="EUR"),IF(AND($Z1005="Crédit",$N1005=$N1006),$Q1006,IF(AND($Z1005="Débit",$N1005=$N1004),$Q1004)),IF(OR(AND(OR($E1005&lt;&gt;"",$L1005=""),$M1005&lt;&gt;0),$A1005=""),IFERROR(VLOOKUP($E1005,Selection!$E:$F,2,false)),IFERROR(VLOOKUP(SUBSTITUTE($I1005,"-","",1),$K1006:$Q1119,7,false),VLOOKUP($K1005,$K1006:$Q1119,7,false))))</f>
        <v/>
      </c>
      <c r="R1005" s="49" t="str">
        <f t="shared" si="2"/>
        <v/>
      </c>
      <c r="S1005" s="51" t="str">
        <f t="shared" si="3"/>
        <v/>
      </c>
      <c r="T1005" s="52" t="str">
        <f t="shared" si="4"/>
        <v/>
      </c>
      <c r="U1005" s="46" t="str">
        <f t="shared" si="5"/>
        <v/>
      </c>
      <c r="V1005" s="53" t="str">
        <f>IFERROR(__xludf.DUMMYFUNCTION(" IF(Account!$F1005&lt;&gt;"""", SPLIT(Account!$F1005, "" ""), """")"),"")</f>
        <v/>
      </c>
      <c r="W1005" s="54"/>
      <c r="X1005" s="54"/>
      <c r="Y1005" s="54"/>
      <c r="Z1005" s="54"/>
      <c r="AA1005" s="54"/>
      <c r="AB1005" s="54"/>
      <c r="AC1005" s="54"/>
      <c r="AD1005" s="54"/>
      <c r="AE1005" s="54"/>
      <c r="AF1005" s="54"/>
      <c r="AG1005" s="54"/>
      <c r="AH1005" s="54"/>
      <c r="AI1005" s="54"/>
      <c r="AJ1005" s="54"/>
    </row>
    <row r="1006">
      <c r="A1006" s="215"/>
      <c r="B1006" s="215"/>
      <c r="C1006" s="215"/>
      <c r="D1006" s="215"/>
      <c r="E1006" s="215"/>
      <c r="F1006" s="373"/>
      <c r="G1006" s="215"/>
      <c r="H1006" s="215"/>
      <c r="I1006" s="215"/>
      <c r="J1006" s="215"/>
      <c r="K1006" s="215"/>
      <c r="L1006" s="45" t="str">
        <f t="shared" si="1"/>
        <v/>
      </c>
      <c r="M1006" s="46" t="str">
        <f>IFERROR(__xludf.DUMMYFUNCTION("IF(Account!$F1006&lt;&gt;"""", VALUE(REGEXREPLACE($I1006, ""\,"", ""."")), """")"),"")</f>
        <v/>
      </c>
      <c r="N1006" s="47" t="str">
        <f>IF(Account!$F1006&lt;&gt;"", DATEVALUE(MID($A1006,4,3) &amp; LEFT($A1006,3) &amp; RIGHT($A1006,4)) + TIMEVALUE($B1006), "")</f>
        <v/>
      </c>
      <c r="O1006" s="48" t="str">
        <f>IF(Account!$F1006&lt;&gt;"", DATEVALUE(MID($A1006,4,3) &amp; LEFT($A1006,3) &amp; RIGHT($A1006,4)), "")</f>
        <v/>
      </c>
      <c r="P1006" s="49" t="str">
        <f>IFERROR(VLOOKUP($Q1006,Selection!$F:$G,2,false))</f>
        <v/>
      </c>
      <c r="Q1006" s="50" t="str">
        <f>IF(AND($X1006="change",$H1006="EUR"),IF(AND($Z1006="Crédit",$N1006=$N1007),$Q1007,IF(AND($Z1006="Débit",$N1006=$N1005),$Q1005)),IF(OR(AND(OR($E1006&lt;&gt;"",$L1006=""),$M1006&lt;&gt;0),$A1006=""),IFERROR(VLOOKUP($E1006,Selection!$E:$F,2,false)),IFERROR(VLOOKUP(SUBSTITUTE($I1006,"-","",1),$K1007:$Q1119,7,false),VLOOKUP($K1006,$K1007:$Q1119,7,false))))</f>
        <v/>
      </c>
      <c r="R1006" s="49" t="str">
        <f t="shared" si="2"/>
        <v/>
      </c>
      <c r="S1006" s="51" t="str">
        <f t="shared" si="3"/>
        <v/>
      </c>
      <c r="T1006" s="52" t="str">
        <f t="shared" si="4"/>
        <v/>
      </c>
      <c r="U1006" s="46" t="str">
        <f t="shared" si="5"/>
        <v/>
      </c>
      <c r="V1006" s="53" t="str">
        <f>IFERROR(__xludf.DUMMYFUNCTION(" IF(Account!$F1006&lt;&gt;"""", SPLIT(Account!$F1006, "" ""), """")"),"")</f>
        <v/>
      </c>
      <c r="W1006" s="54"/>
      <c r="X1006" s="54"/>
      <c r="Y1006" s="54"/>
      <c r="Z1006" s="54"/>
      <c r="AA1006" s="54"/>
      <c r="AB1006" s="54"/>
      <c r="AC1006" s="54"/>
      <c r="AD1006" s="54"/>
      <c r="AE1006" s="54"/>
      <c r="AF1006" s="54"/>
      <c r="AG1006" s="54"/>
      <c r="AH1006" s="54"/>
      <c r="AI1006" s="54"/>
      <c r="AJ1006" s="54"/>
    </row>
    <row r="1007">
      <c r="A1007" s="215"/>
      <c r="B1007" s="215"/>
      <c r="C1007" s="215"/>
      <c r="D1007" s="215"/>
      <c r="E1007" s="215"/>
      <c r="F1007" s="373"/>
      <c r="G1007" s="215"/>
      <c r="H1007" s="215"/>
      <c r="I1007" s="215"/>
      <c r="J1007" s="215"/>
      <c r="K1007" s="215"/>
      <c r="L1007" s="45" t="str">
        <f t="shared" si="1"/>
        <v/>
      </c>
      <c r="M1007" s="46" t="str">
        <f>IFERROR(__xludf.DUMMYFUNCTION("IF(Account!$F1007&lt;&gt;"""", VALUE(REGEXREPLACE($I1007, ""\,"", ""."")), """")"),"")</f>
        <v/>
      </c>
      <c r="N1007" s="47" t="str">
        <f>IF(Account!$F1007&lt;&gt;"", DATEVALUE(MID($A1007,4,3) &amp; LEFT($A1007,3) &amp; RIGHT($A1007,4)) + TIMEVALUE($B1007), "")</f>
        <v/>
      </c>
      <c r="O1007" s="48" t="str">
        <f>IF(Account!$F1007&lt;&gt;"", DATEVALUE(MID($A1007,4,3) &amp; LEFT($A1007,3) &amp; RIGHT($A1007,4)), "")</f>
        <v/>
      </c>
      <c r="P1007" s="49" t="str">
        <f>IFERROR(VLOOKUP($Q1007,Selection!$F:$G,2,false))</f>
        <v/>
      </c>
      <c r="Q1007" s="50" t="str">
        <f>IF(AND($X1007="change",$H1007="EUR"),IF(AND($Z1007="Crédit",$N1007=$N1008),$Q1008,IF(AND($Z1007="Débit",$N1007=$N1006),$Q1006)),IF(OR(AND(OR($E1007&lt;&gt;"",$L1007=""),$M1007&lt;&gt;0),$A1007=""),IFERROR(VLOOKUP($E1007,Selection!$E:$F,2,false)),IFERROR(VLOOKUP(SUBSTITUTE($I1007,"-","",1),$K1008:$Q1119,7,false),VLOOKUP($K1007,$K1008:$Q1119,7,false))))</f>
        <v/>
      </c>
      <c r="R1007" s="49" t="str">
        <f t="shared" si="2"/>
        <v/>
      </c>
      <c r="S1007" s="51" t="str">
        <f t="shared" si="3"/>
        <v/>
      </c>
      <c r="T1007" s="52" t="str">
        <f t="shared" si="4"/>
        <v/>
      </c>
      <c r="U1007" s="46" t="str">
        <f t="shared" si="5"/>
        <v/>
      </c>
      <c r="V1007" s="53" t="str">
        <f>IFERROR(__xludf.DUMMYFUNCTION(" IF(Account!$F1007&lt;&gt;"""", SPLIT(Account!$F1007, "" ""), """")"),"")</f>
        <v/>
      </c>
      <c r="W1007" s="54"/>
      <c r="X1007" s="54"/>
      <c r="Y1007" s="54"/>
      <c r="Z1007" s="54"/>
      <c r="AA1007" s="54"/>
      <c r="AB1007" s="54"/>
      <c r="AC1007" s="54"/>
      <c r="AD1007" s="54"/>
      <c r="AE1007" s="54"/>
      <c r="AF1007" s="54"/>
      <c r="AG1007" s="54"/>
      <c r="AH1007" s="54"/>
      <c r="AI1007" s="54"/>
      <c r="AJ1007" s="54"/>
    </row>
    <row r="1008">
      <c r="A1008" s="215"/>
      <c r="B1008" s="215"/>
      <c r="C1008" s="215"/>
      <c r="D1008" s="215"/>
      <c r="E1008" s="215"/>
      <c r="F1008" s="373"/>
      <c r="G1008" s="215"/>
      <c r="H1008" s="215"/>
      <c r="I1008" s="215"/>
      <c r="J1008" s="215"/>
      <c r="K1008" s="215"/>
      <c r="L1008" s="45" t="str">
        <f t="shared" si="1"/>
        <v/>
      </c>
      <c r="M1008" s="46" t="str">
        <f>IFERROR(__xludf.DUMMYFUNCTION("IF(Account!$F1008&lt;&gt;"""", VALUE(REGEXREPLACE($I1008, ""\,"", ""."")), """")"),"")</f>
        <v/>
      </c>
      <c r="N1008" s="47" t="str">
        <f>IF(Account!$F1008&lt;&gt;"", DATEVALUE(MID($A1008,4,3) &amp; LEFT($A1008,3) &amp; RIGHT($A1008,4)) + TIMEVALUE($B1008), "")</f>
        <v/>
      </c>
      <c r="O1008" s="48" t="str">
        <f>IF(Account!$F1008&lt;&gt;"", DATEVALUE(MID($A1008,4,3) &amp; LEFT($A1008,3) &amp; RIGHT($A1008,4)), "")</f>
        <v/>
      </c>
      <c r="P1008" s="49" t="str">
        <f>IFERROR(VLOOKUP($Q1008,Selection!$F:$G,2,false))</f>
        <v/>
      </c>
      <c r="Q1008" s="50" t="str">
        <f>IF(AND($X1008="change",$H1008="EUR"),IF(AND($Z1008="Crédit",$N1008=$N1009),$Q1009,IF(AND($Z1008="Débit",$N1008=$N1007),$Q1007)),IF(OR(AND(OR($E1008&lt;&gt;"",$L1008=""),$M1008&lt;&gt;0),$A1008=""),IFERROR(VLOOKUP($E1008,Selection!$E:$F,2,false)),IFERROR(VLOOKUP(SUBSTITUTE($I1008,"-","",1),$K1009:$Q1119,7,false),VLOOKUP($K1008,$K1009:$Q1119,7,false))))</f>
        <v/>
      </c>
      <c r="R1008" s="49" t="str">
        <f t="shared" si="2"/>
        <v/>
      </c>
      <c r="S1008" s="51" t="str">
        <f t="shared" si="3"/>
        <v/>
      </c>
      <c r="T1008" s="52" t="str">
        <f t="shared" si="4"/>
        <v/>
      </c>
      <c r="U1008" s="46" t="str">
        <f t="shared" si="5"/>
        <v/>
      </c>
      <c r="V1008" s="53" t="str">
        <f>IFERROR(__xludf.DUMMYFUNCTION(" IF(Account!$F1008&lt;&gt;"""", SPLIT(Account!$F1008, "" ""), """")"),"")</f>
        <v/>
      </c>
      <c r="W1008" s="54"/>
      <c r="X1008" s="54"/>
      <c r="Y1008" s="54"/>
      <c r="Z1008" s="54"/>
      <c r="AA1008" s="54"/>
      <c r="AB1008" s="54"/>
      <c r="AC1008" s="54"/>
      <c r="AD1008" s="54"/>
      <c r="AE1008" s="54"/>
      <c r="AF1008" s="54"/>
      <c r="AG1008" s="54"/>
      <c r="AH1008" s="54"/>
      <c r="AI1008" s="54"/>
      <c r="AJ1008" s="54"/>
    </row>
    <row r="1009">
      <c r="A1009" s="215"/>
      <c r="B1009" s="215"/>
      <c r="C1009" s="215"/>
      <c r="D1009" s="215"/>
      <c r="E1009" s="215"/>
      <c r="F1009" s="373"/>
      <c r="G1009" s="215"/>
      <c r="H1009" s="215"/>
      <c r="I1009" s="215"/>
      <c r="J1009" s="215"/>
      <c r="K1009" s="215"/>
      <c r="L1009" s="45" t="str">
        <f t="shared" si="1"/>
        <v/>
      </c>
      <c r="M1009" s="46" t="str">
        <f>IFERROR(__xludf.DUMMYFUNCTION("IF(Account!$F1009&lt;&gt;"""", VALUE(REGEXREPLACE($I1009, ""\,"", ""."")), """")"),"")</f>
        <v/>
      </c>
      <c r="N1009" s="47" t="str">
        <f>IF(Account!$F1009&lt;&gt;"", DATEVALUE(MID($A1009,4,3) &amp; LEFT($A1009,3) &amp; RIGHT($A1009,4)) + TIMEVALUE($B1009), "")</f>
        <v/>
      </c>
      <c r="O1009" s="48" t="str">
        <f>IF(Account!$F1009&lt;&gt;"", DATEVALUE(MID($A1009,4,3) &amp; LEFT($A1009,3) &amp; RIGHT($A1009,4)), "")</f>
        <v/>
      </c>
      <c r="P1009" s="49" t="str">
        <f>IFERROR(VLOOKUP($Q1009,Selection!$F:$G,2,false))</f>
        <v/>
      </c>
      <c r="Q1009" s="50" t="str">
        <f>IF(AND($X1009="change",$H1009="EUR"),IF(AND($Z1009="Crédit",$N1009=$N1010),$Q1010,IF(AND($Z1009="Débit",$N1009=$N1008),$Q1008)),IF(OR(AND(OR($E1009&lt;&gt;"",$L1009=""),$M1009&lt;&gt;0),$A1009=""),IFERROR(VLOOKUP($E1009,Selection!$E:$F,2,false)),IFERROR(VLOOKUP(SUBSTITUTE($I1009,"-","",1),$K1010:$Q1119,7,false),VLOOKUP($K1009,$K1010:$Q1119,7,false))))</f>
        <v/>
      </c>
      <c r="R1009" s="49" t="str">
        <f t="shared" si="2"/>
        <v/>
      </c>
      <c r="S1009" s="51" t="str">
        <f t="shared" si="3"/>
        <v/>
      </c>
      <c r="T1009" s="52" t="str">
        <f t="shared" si="4"/>
        <v/>
      </c>
      <c r="U1009" s="46" t="str">
        <f t="shared" si="5"/>
        <v/>
      </c>
      <c r="V1009" s="53" t="str">
        <f>IFERROR(__xludf.DUMMYFUNCTION(" IF(Account!$F1009&lt;&gt;"""", SPLIT(Account!$F1009, "" ""), """")"),"")</f>
        <v/>
      </c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4"/>
      <c r="AG1009" s="54"/>
      <c r="AH1009" s="54"/>
      <c r="AI1009" s="54"/>
      <c r="AJ1009" s="54"/>
    </row>
    <row r="1010">
      <c r="A1010" s="215"/>
      <c r="B1010" s="215"/>
      <c r="C1010" s="215"/>
      <c r="D1010" s="215"/>
      <c r="E1010" s="215"/>
      <c r="F1010" s="373"/>
      <c r="G1010" s="215"/>
      <c r="H1010" s="215"/>
      <c r="I1010" s="215"/>
      <c r="J1010" s="215"/>
      <c r="K1010" s="215"/>
      <c r="L1010" s="45" t="str">
        <f t="shared" si="1"/>
        <v/>
      </c>
      <c r="M1010" s="46" t="str">
        <f>IFERROR(__xludf.DUMMYFUNCTION("IF(Account!$F1010&lt;&gt;"""", VALUE(REGEXREPLACE($I1010, ""\,"", ""."")), """")"),"")</f>
        <v/>
      </c>
      <c r="N1010" s="47" t="str">
        <f>IF(Account!$F1010&lt;&gt;"", DATEVALUE(MID($A1010,4,3) &amp; LEFT($A1010,3) &amp; RIGHT($A1010,4)) + TIMEVALUE($B1010), "")</f>
        <v/>
      </c>
      <c r="O1010" s="48" t="str">
        <f>IF(Account!$F1010&lt;&gt;"", DATEVALUE(MID($A1010,4,3) &amp; LEFT($A1010,3) &amp; RIGHT($A1010,4)), "")</f>
        <v/>
      </c>
      <c r="P1010" s="49" t="str">
        <f>IFERROR(VLOOKUP($Q1010,Selection!$F:$G,2,false))</f>
        <v/>
      </c>
      <c r="Q1010" s="50" t="str">
        <f>IF(AND($X1010="change",$H1010="EUR"),IF(AND($Z1010="Crédit",$N1010=$N1011),$Q1011,IF(AND($Z1010="Débit",$N1010=$N1009),$Q1009)),IF(OR(AND(OR($E1010&lt;&gt;"",$L1010=""),$M1010&lt;&gt;0),$A1010=""),IFERROR(VLOOKUP($E1010,Selection!$E:$F,2,false)),IFERROR(VLOOKUP(SUBSTITUTE($I1010,"-","",1),$K1011:$Q1119,7,false),VLOOKUP($K1010,$K1011:$Q1119,7,false))))</f>
        <v/>
      </c>
      <c r="R1010" s="49" t="str">
        <f t="shared" si="2"/>
        <v/>
      </c>
      <c r="S1010" s="51" t="str">
        <f t="shared" si="3"/>
        <v/>
      </c>
      <c r="T1010" s="52" t="str">
        <f t="shared" si="4"/>
        <v/>
      </c>
      <c r="U1010" s="46" t="str">
        <f t="shared" si="5"/>
        <v/>
      </c>
      <c r="V1010" s="53" t="str">
        <f>IFERROR(__xludf.DUMMYFUNCTION(" IF(Account!$F1010&lt;&gt;"""", SPLIT(Account!$F1010, "" ""), """")"),"")</f>
        <v/>
      </c>
      <c r="W1010" s="54"/>
      <c r="X1010" s="54"/>
      <c r="Y1010" s="54"/>
      <c r="Z1010" s="54"/>
      <c r="AA1010" s="54"/>
      <c r="AB1010" s="54"/>
      <c r="AC1010" s="54"/>
      <c r="AD1010" s="54"/>
      <c r="AE1010" s="54"/>
      <c r="AF1010" s="54"/>
      <c r="AG1010" s="54"/>
      <c r="AH1010" s="54"/>
      <c r="AI1010" s="54"/>
      <c r="AJ1010" s="54"/>
    </row>
    <row r="1011">
      <c r="A1011" s="215"/>
      <c r="B1011" s="215"/>
      <c r="C1011" s="215"/>
      <c r="D1011" s="215"/>
      <c r="E1011" s="215"/>
      <c r="F1011" s="373"/>
      <c r="G1011" s="215"/>
      <c r="H1011" s="215"/>
      <c r="I1011" s="215"/>
      <c r="J1011" s="215"/>
      <c r="K1011" s="215"/>
      <c r="L1011" s="45" t="str">
        <f t="shared" si="1"/>
        <v/>
      </c>
      <c r="M1011" s="46" t="str">
        <f>IFERROR(__xludf.DUMMYFUNCTION("IF(Account!$F1011&lt;&gt;"""", VALUE(REGEXREPLACE($I1011, ""\,"", ""."")), """")"),"")</f>
        <v/>
      </c>
      <c r="N1011" s="47" t="str">
        <f>IF(Account!$F1011&lt;&gt;"", DATEVALUE(MID($A1011,4,3) &amp; LEFT($A1011,3) &amp; RIGHT($A1011,4)) + TIMEVALUE($B1011), "")</f>
        <v/>
      </c>
      <c r="O1011" s="48" t="str">
        <f>IF(Account!$F1011&lt;&gt;"", DATEVALUE(MID($A1011,4,3) &amp; LEFT($A1011,3) &amp; RIGHT($A1011,4)), "")</f>
        <v/>
      </c>
      <c r="P1011" s="49" t="str">
        <f>IFERROR(VLOOKUP($Q1011,Selection!$F:$G,2,false))</f>
        <v/>
      </c>
      <c r="Q1011" s="50" t="str">
        <f>IF(AND($X1011="change",$H1011="EUR"),IF(AND($Z1011="Crédit",$N1011=$N1012),$Q1012,IF(AND($Z1011="Débit",$N1011=$N1010),$Q1010)),IF(OR(AND(OR($E1011&lt;&gt;"",$L1011=""),$M1011&lt;&gt;0),$A1011=""),IFERROR(VLOOKUP($E1011,Selection!$E:$F,2,false)),IFERROR(VLOOKUP(SUBSTITUTE($I1011,"-","",1),$K1012:$Q1119,7,false),VLOOKUP($K1011,$K1012:$Q1119,7,false))))</f>
        <v/>
      </c>
      <c r="R1011" s="49" t="str">
        <f t="shared" si="2"/>
        <v/>
      </c>
      <c r="S1011" s="51" t="str">
        <f t="shared" si="3"/>
        <v/>
      </c>
      <c r="T1011" s="52" t="str">
        <f t="shared" si="4"/>
        <v/>
      </c>
      <c r="U1011" s="46" t="str">
        <f t="shared" si="5"/>
        <v/>
      </c>
      <c r="V1011" s="53" t="str">
        <f>IFERROR(__xludf.DUMMYFUNCTION(" IF(Account!$F1011&lt;&gt;"""", SPLIT(Account!$F1011, "" ""), """")"),"")</f>
        <v/>
      </c>
      <c r="W1011" s="54"/>
      <c r="X1011" s="54"/>
      <c r="Y1011" s="54"/>
      <c r="Z1011" s="54"/>
      <c r="AA1011" s="54"/>
      <c r="AB1011" s="54"/>
      <c r="AC1011" s="54"/>
      <c r="AD1011" s="54"/>
      <c r="AE1011" s="54"/>
      <c r="AF1011" s="54"/>
      <c r="AG1011" s="54"/>
      <c r="AH1011" s="54"/>
      <c r="AI1011" s="54"/>
      <c r="AJ1011" s="54"/>
    </row>
    <row r="1012">
      <c r="A1012" s="215"/>
      <c r="B1012" s="215"/>
      <c r="C1012" s="215"/>
      <c r="D1012" s="215"/>
      <c r="E1012" s="215"/>
      <c r="F1012" s="373"/>
      <c r="G1012" s="215"/>
      <c r="H1012" s="215"/>
      <c r="I1012" s="215"/>
      <c r="J1012" s="215"/>
      <c r="K1012" s="215"/>
      <c r="L1012" s="45" t="str">
        <f t="shared" si="1"/>
        <v/>
      </c>
      <c r="M1012" s="46" t="str">
        <f>IFERROR(__xludf.DUMMYFUNCTION("IF(Account!$F1012&lt;&gt;"""", VALUE(REGEXREPLACE($I1012, ""\,"", ""."")), """")"),"")</f>
        <v/>
      </c>
      <c r="N1012" s="47" t="str">
        <f>IF(Account!$F1012&lt;&gt;"", DATEVALUE(MID($A1012,4,3) &amp; LEFT($A1012,3) &amp; RIGHT($A1012,4)) + TIMEVALUE($B1012), "")</f>
        <v/>
      </c>
      <c r="O1012" s="48" t="str">
        <f>IF(Account!$F1012&lt;&gt;"", DATEVALUE(MID($A1012,4,3) &amp; LEFT($A1012,3) &amp; RIGHT($A1012,4)), "")</f>
        <v/>
      </c>
      <c r="P1012" s="49" t="str">
        <f>IFERROR(VLOOKUP($Q1012,Selection!$F:$G,2,false))</f>
        <v/>
      </c>
      <c r="Q1012" s="50" t="str">
        <f>IF(AND($X1012="change",$H1012="EUR"),IF(AND($Z1012="Crédit",$N1012=$N1013),$Q1013,IF(AND($Z1012="Débit",$N1012=$N1011),$Q1011)),IF(OR(AND(OR($E1012&lt;&gt;"",$L1012=""),$M1012&lt;&gt;0),$A1012=""),IFERROR(VLOOKUP($E1012,Selection!$E:$F,2,false)),IFERROR(VLOOKUP(SUBSTITUTE($I1012,"-","",1),$K1013:$Q1119,7,false),VLOOKUP($K1012,$K1013:$Q1119,7,false))))</f>
        <v/>
      </c>
      <c r="R1012" s="49" t="str">
        <f t="shared" si="2"/>
        <v/>
      </c>
      <c r="S1012" s="51" t="str">
        <f t="shared" si="3"/>
        <v/>
      </c>
      <c r="T1012" s="52" t="str">
        <f t="shared" si="4"/>
        <v/>
      </c>
      <c r="U1012" s="46" t="str">
        <f t="shared" si="5"/>
        <v/>
      </c>
      <c r="V1012" s="53" t="str">
        <f>IFERROR(__xludf.DUMMYFUNCTION(" IF(Account!$F1012&lt;&gt;"""", SPLIT(Account!$F1012, "" ""), """")"),"")</f>
        <v/>
      </c>
      <c r="W1012" s="54"/>
      <c r="X1012" s="54"/>
      <c r="Y1012" s="54"/>
      <c r="Z1012" s="54"/>
      <c r="AA1012" s="54"/>
      <c r="AB1012" s="54"/>
      <c r="AC1012" s="54"/>
      <c r="AD1012" s="54"/>
      <c r="AE1012" s="54"/>
      <c r="AF1012" s="54"/>
      <c r="AG1012" s="54"/>
      <c r="AH1012" s="54"/>
      <c r="AI1012" s="54"/>
      <c r="AJ1012" s="54"/>
    </row>
    <row r="1013">
      <c r="A1013" s="215"/>
      <c r="B1013" s="215"/>
      <c r="C1013" s="215"/>
      <c r="D1013" s="215"/>
      <c r="E1013" s="215"/>
      <c r="F1013" s="373"/>
      <c r="G1013" s="215"/>
      <c r="H1013" s="215"/>
      <c r="I1013" s="215"/>
      <c r="J1013" s="215"/>
      <c r="K1013" s="215"/>
      <c r="L1013" s="45" t="str">
        <f t="shared" si="1"/>
        <v/>
      </c>
      <c r="M1013" s="46" t="str">
        <f>IFERROR(__xludf.DUMMYFUNCTION("IF(Account!$F1013&lt;&gt;"""", VALUE(REGEXREPLACE($I1013, ""\,"", ""."")), """")"),"")</f>
        <v/>
      </c>
      <c r="N1013" s="47" t="str">
        <f>IF(Account!$F1013&lt;&gt;"", DATEVALUE(MID($A1013,4,3) &amp; LEFT($A1013,3) &amp; RIGHT($A1013,4)) + TIMEVALUE($B1013), "")</f>
        <v/>
      </c>
      <c r="O1013" s="48" t="str">
        <f>IF(Account!$F1013&lt;&gt;"", DATEVALUE(MID($A1013,4,3) &amp; LEFT($A1013,3) &amp; RIGHT($A1013,4)), "")</f>
        <v/>
      </c>
      <c r="P1013" s="49" t="str">
        <f>IFERROR(VLOOKUP($Q1013,Selection!$F:$G,2,false))</f>
        <v/>
      </c>
      <c r="Q1013" s="50" t="str">
        <f>IF(AND($X1013="change",$H1013="EUR"),IF(AND($Z1013="Crédit",$N1013=$N1014),$Q1014,IF(AND($Z1013="Débit",$N1013=$N1012),$Q1012)),IF(OR(AND(OR($E1013&lt;&gt;"",$L1013=""),$M1013&lt;&gt;0),$A1013=""),IFERROR(VLOOKUP($E1013,Selection!$E:$F,2,false)),IFERROR(VLOOKUP(SUBSTITUTE($I1013,"-","",1),$K1014:$Q1119,7,false),VLOOKUP($K1013,$K1014:$Q1119,7,false))))</f>
        <v/>
      </c>
      <c r="R1013" s="49" t="str">
        <f t="shared" si="2"/>
        <v/>
      </c>
      <c r="S1013" s="51" t="str">
        <f t="shared" si="3"/>
        <v/>
      </c>
      <c r="T1013" s="52" t="str">
        <f t="shared" si="4"/>
        <v/>
      </c>
      <c r="U1013" s="46" t="str">
        <f t="shared" si="5"/>
        <v/>
      </c>
      <c r="V1013" s="53" t="str">
        <f>IFERROR(__xludf.DUMMYFUNCTION(" IF(Account!$F1013&lt;&gt;"""", SPLIT(Account!$F1013, "" ""), """")"),"")</f>
        <v/>
      </c>
      <c r="W1013" s="54"/>
      <c r="X1013" s="54"/>
      <c r="Y1013" s="54"/>
      <c r="Z1013" s="54"/>
      <c r="AA1013" s="54"/>
      <c r="AB1013" s="54"/>
      <c r="AC1013" s="54"/>
      <c r="AD1013" s="54"/>
      <c r="AE1013" s="54"/>
      <c r="AF1013" s="54"/>
      <c r="AG1013" s="54"/>
      <c r="AH1013" s="54"/>
      <c r="AI1013" s="54"/>
      <c r="AJ1013" s="54"/>
    </row>
    <row r="1014">
      <c r="A1014" s="215"/>
      <c r="B1014" s="215"/>
      <c r="C1014" s="215"/>
      <c r="D1014" s="215"/>
      <c r="E1014" s="215"/>
      <c r="F1014" s="373"/>
      <c r="G1014" s="215"/>
      <c r="H1014" s="215"/>
      <c r="I1014" s="215"/>
      <c r="J1014" s="215"/>
      <c r="K1014" s="215"/>
      <c r="L1014" s="45" t="str">
        <f t="shared" si="1"/>
        <v/>
      </c>
      <c r="M1014" s="46" t="str">
        <f>IFERROR(__xludf.DUMMYFUNCTION("IF(Account!$F1014&lt;&gt;"""", VALUE(REGEXREPLACE($I1014, ""\,"", ""."")), """")"),"")</f>
        <v/>
      </c>
      <c r="N1014" s="47" t="str">
        <f>IF(Account!$F1014&lt;&gt;"", DATEVALUE(MID($A1014,4,3) &amp; LEFT($A1014,3) &amp; RIGHT($A1014,4)) + TIMEVALUE($B1014), "")</f>
        <v/>
      </c>
      <c r="O1014" s="48" t="str">
        <f>IF(Account!$F1014&lt;&gt;"", DATEVALUE(MID($A1014,4,3) &amp; LEFT($A1014,3) &amp; RIGHT($A1014,4)), "")</f>
        <v/>
      </c>
      <c r="P1014" s="49" t="str">
        <f>IFERROR(VLOOKUP($Q1014,Selection!$F:$G,2,false))</f>
        <v/>
      </c>
      <c r="Q1014" s="50" t="str">
        <f>IF(AND($X1014="change",$H1014="EUR"),IF(AND($Z1014="Crédit",$N1014=$N1015),$Q1015,IF(AND($Z1014="Débit",$N1014=$N1013),$Q1013)),IF(OR(AND(OR($E1014&lt;&gt;"",$L1014=""),$M1014&lt;&gt;0),$A1014=""),IFERROR(VLOOKUP($E1014,Selection!$E:$F,2,false)),IFERROR(VLOOKUP(SUBSTITUTE($I1014,"-","",1),$K1015:$Q1119,7,false),VLOOKUP($K1014,$K1015:$Q1119,7,false))))</f>
        <v/>
      </c>
      <c r="R1014" s="49" t="str">
        <f t="shared" si="2"/>
        <v/>
      </c>
      <c r="S1014" s="51" t="str">
        <f t="shared" si="3"/>
        <v/>
      </c>
      <c r="T1014" s="52" t="str">
        <f t="shared" si="4"/>
        <v/>
      </c>
      <c r="U1014" s="46" t="str">
        <f t="shared" si="5"/>
        <v/>
      </c>
      <c r="V1014" s="53" t="str">
        <f>IFERROR(__xludf.DUMMYFUNCTION(" IF(Account!$F1014&lt;&gt;"""", SPLIT(Account!$F1014, "" ""), """")"),"")</f>
        <v/>
      </c>
      <c r="W1014" s="54"/>
      <c r="X1014" s="54"/>
      <c r="Y1014" s="54"/>
      <c r="Z1014" s="54"/>
      <c r="AA1014" s="54"/>
      <c r="AB1014" s="54"/>
      <c r="AC1014" s="54"/>
      <c r="AD1014" s="54"/>
      <c r="AE1014" s="54"/>
      <c r="AF1014" s="54"/>
      <c r="AG1014" s="54"/>
      <c r="AH1014" s="54"/>
      <c r="AI1014" s="54"/>
      <c r="AJ1014" s="54"/>
    </row>
    <row r="1015">
      <c r="A1015" s="215"/>
      <c r="B1015" s="215"/>
      <c r="C1015" s="215"/>
      <c r="D1015" s="215"/>
      <c r="E1015" s="215"/>
      <c r="F1015" s="373"/>
      <c r="G1015" s="215"/>
      <c r="H1015" s="215"/>
      <c r="I1015" s="215"/>
      <c r="J1015" s="215"/>
      <c r="K1015" s="215"/>
      <c r="L1015" s="45" t="str">
        <f t="shared" si="1"/>
        <v/>
      </c>
      <c r="M1015" s="46" t="str">
        <f>IFERROR(__xludf.DUMMYFUNCTION("IF(Account!$F1015&lt;&gt;"""", VALUE(REGEXREPLACE($I1015, ""\,"", ""."")), """")"),"")</f>
        <v/>
      </c>
      <c r="N1015" s="47" t="str">
        <f>IF(Account!$F1015&lt;&gt;"", DATEVALUE(MID($A1015,4,3) &amp; LEFT($A1015,3) &amp; RIGHT($A1015,4)) + TIMEVALUE($B1015), "")</f>
        <v/>
      </c>
      <c r="O1015" s="48" t="str">
        <f>IF(Account!$F1015&lt;&gt;"", DATEVALUE(MID($A1015,4,3) &amp; LEFT($A1015,3) &amp; RIGHT($A1015,4)), "")</f>
        <v/>
      </c>
      <c r="P1015" s="49" t="str">
        <f>IFERROR(VLOOKUP($Q1015,Selection!$F:$G,2,false))</f>
        <v/>
      </c>
      <c r="Q1015" s="50" t="str">
        <f>IF(AND($X1015="change",$H1015="EUR"),IF(AND($Z1015="Crédit",$N1015=$N1016),$Q1016,IF(AND($Z1015="Débit",$N1015=$N1014),$Q1014)),IF(OR(AND(OR($E1015&lt;&gt;"",$L1015=""),$M1015&lt;&gt;0),$A1015=""),IFERROR(VLOOKUP($E1015,Selection!$E:$F,2,false)),IFERROR(VLOOKUP(SUBSTITUTE($I1015,"-","",1),$K1016:$Q1119,7,false),VLOOKUP($K1015,$K1016:$Q1119,7,false))))</f>
        <v/>
      </c>
      <c r="R1015" s="49" t="str">
        <f t="shared" si="2"/>
        <v/>
      </c>
      <c r="S1015" s="51" t="str">
        <f t="shared" si="3"/>
        <v/>
      </c>
      <c r="T1015" s="52" t="str">
        <f t="shared" si="4"/>
        <v/>
      </c>
      <c r="U1015" s="46" t="str">
        <f t="shared" si="5"/>
        <v/>
      </c>
      <c r="V1015" s="53" t="str">
        <f>IFERROR(__xludf.DUMMYFUNCTION(" IF(Account!$F1015&lt;&gt;"""", SPLIT(Account!$F1015, "" ""), """")"),"")</f>
        <v/>
      </c>
      <c r="W1015" s="54"/>
      <c r="X1015" s="54"/>
      <c r="Y1015" s="54"/>
      <c r="Z1015" s="54"/>
      <c r="AA1015" s="54"/>
      <c r="AB1015" s="54"/>
      <c r="AC1015" s="54"/>
      <c r="AD1015" s="54"/>
      <c r="AE1015" s="54"/>
      <c r="AF1015" s="54"/>
      <c r="AG1015" s="54"/>
      <c r="AH1015" s="54"/>
      <c r="AI1015" s="54"/>
      <c r="AJ1015" s="54"/>
    </row>
    <row r="1016">
      <c r="A1016" s="215"/>
      <c r="B1016" s="215"/>
      <c r="C1016" s="215"/>
      <c r="D1016" s="215"/>
      <c r="E1016" s="215"/>
      <c r="F1016" s="373"/>
      <c r="G1016" s="215"/>
      <c r="H1016" s="215"/>
      <c r="I1016" s="215"/>
      <c r="J1016" s="215"/>
      <c r="K1016" s="215"/>
      <c r="L1016" s="45" t="str">
        <f t="shared" si="1"/>
        <v/>
      </c>
      <c r="M1016" s="46" t="str">
        <f>IFERROR(__xludf.DUMMYFUNCTION("IF(Account!$F1016&lt;&gt;"""", VALUE(REGEXREPLACE($I1016, ""\,"", ""."")), """")"),"")</f>
        <v/>
      </c>
      <c r="N1016" s="47" t="str">
        <f>IF(Account!$F1016&lt;&gt;"", DATEVALUE(MID($A1016,4,3) &amp; LEFT($A1016,3) &amp; RIGHT($A1016,4)) + TIMEVALUE($B1016), "")</f>
        <v/>
      </c>
      <c r="O1016" s="48" t="str">
        <f>IF(Account!$F1016&lt;&gt;"", DATEVALUE(MID($A1016,4,3) &amp; LEFT($A1016,3) &amp; RIGHT($A1016,4)), "")</f>
        <v/>
      </c>
      <c r="P1016" s="49" t="str">
        <f>IFERROR(VLOOKUP($Q1016,Selection!$F:$G,2,false))</f>
        <v/>
      </c>
      <c r="Q1016" s="50" t="str">
        <f>IF(AND($X1016="change",$H1016="EUR"),IF(AND($Z1016="Crédit",$N1016=$N1017),$Q1017,IF(AND($Z1016="Débit",$N1016=$N1015),$Q1015)),IF(OR(AND(OR($E1016&lt;&gt;"",$L1016=""),$M1016&lt;&gt;0),$A1016=""),IFERROR(VLOOKUP($E1016,Selection!$E:$F,2,false)),IFERROR(VLOOKUP(SUBSTITUTE($I1016,"-","",1),$K1017:$Q1119,7,false),VLOOKUP($K1016,$K1017:$Q1119,7,false))))</f>
        <v/>
      </c>
      <c r="R1016" s="49" t="str">
        <f t="shared" si="2"/>
        <v/>
      </c>
      <c r="S1016" s="51" t="str">
        <f t="shared" si="3"/>
        <v/>
      </c>
      <c r="T1016" s="52" t="str">
        <f t="shared" si="4"/>
        <v/>
      </c>
      <c r="U1016" s="46" t="str">
        <f t="shared" si="5"/>
        <v/>
      </c>
      <c r="V1016" s="53" t="str">
        <f>IFERROR(__xludf.DUMMYFUNCTION(" IF(Account!$F1016&lt;&gt;"""", SPLIT(Account!$F1016, "" ""), """")"),"")</f>
        <v/>
      </c>
      <c r="W1016" s="54"/>
      <c r="X1016" s="54"/>
      <c r="Y1016" s="54"/>
      <c r="Z1016" s="54"/>
      <c r="AA1016" s="54"/>
      <c r="AB1016" s="54"/>
      <c r="AC1016" s="54"/>
      <c r="AD1016" s="54"/>
      <c r="AE1016" s="54"/>
      <c r="AF1016" s="54"/>
      <c r="AG1016" s="54"/>
      <c r="AH1016" s="54"/>
      <c r="AI1016" s="54"/>
      <c r="AJ1016" s="54"/>
    </row>
    <row r="1017">
      <c r="A1017" s="215"/>
      <c r="B1017" s="215"/>
      <c r="C1017" s="215"/>
      <c r="D1017" s="215"/>
      <c r="E1017" s="215"/>
      <c r="F1017" s="373"/>
      <c r="G1017" s="215"/>
      <c r="H1017" s="215"/>
      <c r="I1017" s="215"/>
      <c r="J1017" s="215"/>
      <c r="K1017" s="215"/>
      <c r="L1017" s="45" t="str">
        <f t="shared" si="1"/>
        <v/>
      </c>
      <c r="M1017" s="46" t="str">
        <f>IFERROR(__xludf.DUMMYFUNCTION("IF(Account!$F1017&lt;&gt;"""", VALUE(REGEXREPLACE($I1017, ""\,"", ""."")), """")"),"")</f>
        <v/>
      </c>
      <c r="N1017" s="47" t="str">
        <f>IF(Account!$F1017&lt;&gt;"", DATEVALUE(MID($A1017,4,3) &amp; LEFT($A1017,3) &amp; RIGHT($A1017,4)) + TIMEVALUE($B1017), "")</f>
        <v/>
      </c>
      <c r="O1017" s="48" t="str">
        <f>IF(Account!$F1017&lt;&gt;"", DATEVALUE(MID($A1017,4,3) &amp; LEFT($A1017,3) &amp; RIGHT($A1017,4)), "")</f>
        <v/>
      </c>
      <c r="P1017" s="49" t="str">
        <f>IFERROR(VLOOKUP($Q1017,Selection!$F:$G,2,false))</f>
        <v/>
      </c>
      <c r="Q1017" s="50" t="str">
        <f>IF(AND($X1017="change",$H1017="EUR"),IF(AND($Z1017="Crédit",$N1017=$N1018),$Q1018,IF(AND($Z1017="Débit",$N1017=$N1016),$Q1016)),IF(OR(AND(OR($E1017&lt;&gt;"",$L1017=""),$M1017&lt;&gt;0),$A1017=""),IFERROR(VLOOKUP($E1017,Selection!$E:$F,2,false)),IFERROR(VLOOKUP(SUBSTITUTE($I1017,"-","",1),$K1018:$Q1119,7,false),VLOOKUP($K1017,$K1018:$Q1119,7,false))))</f>
        <v/>
      </c>
      <c r="R1017" s="49" t="str">
        <f t="shared" si="2"/>
        <v/>
      </c>
      <c r="S1017" s="51" t="str">
        <f t="shared" si="3"/>
        <v/>
      </c>
      <c r="T1017" s="52" t="str">
        <f t="shared" si="4"/>
        <v/>
      </c>
      <c r="U1017" s="46" t="str">
        <f t="shared" si="5"/>
        <v/>
      </c>
      <c r="V1017" s="53" t="str">
        <f>IFERROR(__xludf.DUMMYFUNCTION(" IF(Account!$F1017&lt;&gt;"""", SPLIT(Account!$F1017, "" ""), """")"),"")</f>
        <v/>
      </c>
      <c r="W1017" s="54"/>
      <c r="X1017" s="54"/>
      <c r="Y1017" s="54"/>
      <c r="Z1017" s="54"/>
      <c r="AA1017" s="54"/>
      <c r="AB1017" s="54"/>
      <c r="AC1017" s="54"/>
      <c r="AD1017" s="54"/>
      <c r="AE1017" s="54"/>
      <c r="AF1017" s="54"/>
      <c r="AG1017" s="54"/>
      <c r="AH1017" s="54"/>
      <c r="AI1017" s="54"/>
      <c r="AJ1017" s="54"/>
    </row>
    <row r="1018">
      <c r="A1018" s="215"/>
      <c r="B1018" s="215"/>
      <c r="C1018" s="215"/>
      <c r="D1018" s="215"/>
      <c r="E1018" s="215"/>
      <c r="F1018" s="373"/>
      <c r="G1018" s="215"/>
      <c r="H1018" s="215"/>
      <c r="I1018" s="215"/>
      <c r="J1018" s="215"/>
      <c r="K1018" s="215"/>
      <c r="L1018" s="45" t="str">
        <f t="shared" si="1"/>
        <v/>
      </c>
      <c r="M1018" s="46" t="str">
        <f>IFERROR(__xludf.DUMMYFUNCTION("IF(Account!$F1018&lt;&gt;"""", VALUE(REGEXREPLACE($I1018, ""\,"", ""."")), """")"),"")</f>
        <v/>
      </c>
      <c r="N1018" s="47" t="str">
        <f>IF(Account!$F1018&lt;&gt;"", DATEVALUE(MID($A1018,4,3) &amp; LEFT($A1018,3) &amp; RIGHT($A1018,4)) + TIMEVALUE($B1018), "")</f>
        <v/>
      </c>
      <c r="O1018" s="48" t="str">
        <f>IF(Account!$F1018&lt;&gt;"", DATEVALUE(MID($A1018,4,3) &amp; LEFT($A1018,3) &amp; RIGHT($A1018,4)), "")</f>
        <v/>
      </c>
      <c r="P1018" s="49" t="str">
        <f>IFERROR(VLOOKUP($Q1018,Selection!$F:$G,2,false))</f>
        <v/>
      </c>
      <c r="Q1018" s="50" t="str">
        <f>IF(AND($X1018="change",$H1018="EUR"),IF(AND($Z1018="Crédit",$N1018=$N1019),$Q1019,IF(AND($Z1018="Débit",$N1018=$N1017),$Q1017)),IF(OR(AND(OR($E1018&lt;&gt;"",$L1018=""),$M1018&lt;&gt;0),$A1018=""),IFERROR(VLOOKUP($E1018,Selection!$E:$F,2,false)),IFERROR(VLOOKUP(SUBSTITUTE($I1018,"-","",1),$K1019:$Q1119,7,false),VLOOKUP($K1018,$K1019:$Q1119,7,false))))</f>
        <v/>
      </c>
      <c r="R1018" s="49" t="str">
        <f t="shared" si="2"/>
        <v/>
      </c>
      <c r="S1018" s="51" t="str">
        <f t="shared" si="3"/>
        <v/>
      </c>
      <c r="T1018" s="52" t="str">
        <f t="shared" si="4"/>
        <v/>
      </c>
      <c r="U1018" s="46" t="str">
        <f t="shared" si="5"/>
        <v/>
      </c>
      <c r="V1018" s="53" t="str">
        <f>IFERROR(__xludf.DUMMYFUNCTION(" IF(Account!$F1018&lt;&gt;"""", SPLIT(Account!$F1018, "" ""), """")"),"")</f>
        <v/>
      </c>
      <c r="W1018" s="54"/>
      <c r="X1018" s="54"/>
      <c r="Y1018" s="54"/>
      <c r="Z1018" s="54"/>
      <c r="AA1018" s="54"/>
      <c r="AB1018" s="54"/>
      <c r="AC1018" s="54"/>
      <c r="AD1018" s="54"/>
      <c r="AE1018" s="54"/>
      <c r="AF1018" s="54"/>
      <c r="AG1018" s="54"/>
      <c r="AH1018" s="54"/>
      <c r="AI1018" s="54"/>
      <c r="AJ1018" s="54"/>
    </row>
    <row r="1019">
      <c r="A1019" s="215"/>
      <c r="B1019" s="215"/>
      <c r="C1019" s="215"/>
      <c r="D1019" s="215"/>
      <c r="E1019" s="215"/>
      <c r="F1019" s="373"/>
      <c r="G1019" s="215"/>
      <c r="H1019" s="215"/>
      <c r="I1019" s="215"/>
      <c r="J1019" s="215"/>
      <c r="K1019" s="215"/>
      <c r="L1019" s="45" t="str">
        <f t="shared" si="1"/>
        <v/>
      </c>
      <c r="M1019" s="46" t="str">
        <f>IFERROR(__xludf.DUMMYFUNCTION("IF(Account!$F1019&lt;&gt;"""", VALUE(REGEXREPLACE($I1019, ""\,"", ""."")), """")"),"")</f>
        <v/>
      </c>
      <c r="N1019" s="47" t="str">
        <f>IF(Account!$F1019&lt;&gt;"", DATEVALUE(MID($A1019,4,3) &amp; LEFT($A1019,3) &amp; RIGHT($A1019,4)) + TIMEVALUE($B1019), "")</f>
        <v/>
      </c>
      <c r="O1019" s="48" t="str">
        <f>IF(Account!$F1019&lt;&gt;"", DATEVALUE(MID($A1019,4,3) &amp; LEFT($A1019,3) &amp; RIGHT($A1019,4)), "")</f>
        <v/>
      </c>
      <c r="P1019" s="49" t="str">
        <f>IFERROR(VLOOKUP($Q1019,Selection!$F:$G,2,false))</f>
        <v/>
      </c>
      <c r="Q1019" s="50" t="str">
        <f>IF(AND($X1019="change",$H1019="EUR"),IF(AND($Z1019="Crédit",$N1019=$N1020),$Q1020,IF(AND($Z1019="Débit",$N1019=$N1018),$Q1018)),IF(OR(AND(OR($E1019&lt;&gt;"",$L1019=""),$M1019&lt;&gt;0),$A1019=""),IFERROR(VLOOKUP($E1019,Selection!$E:$F,2,false)),IFERROR(VLOOKUP(SUBSTITUTE($I1019,"-","",1),$K1020:$Q1119,7,false),VLOOKUP($K1019,$K1020:$Q1119,7,false))))</f>
        <v/>
      </c>
      <c r="R1019" s="49" t="str">
        <f t="shared" si="2"/>
        <v/>
      </c>
      <c r="S1019" s="51" t="str">
        <f t="shared" si="3"/>
        <v/>
      </c>
      <c r="T1019" s="52" t="str">
        <f t="shared" si="4"/>
        <v/>
      </c>
      <c r="U1019" s="46" t="str">
        <f t="shared" si="5"/>
        <v/>
      </c>
      <c r="V1019" s="53" t="str">
        <f>IFERROR(__xludf.DUMMYFUNCTION(" IF(Account!$F1019&lt;&gt;"""", SPLIT(Account!$F1019, "" ""), """")"),"")</f>
        <v/>
      </c>
      <c r="W1019" s="54"/>
      <c r="X1019" s="54"/>
      <c r="Y1019" s="54"/>
      <c r="Z1019" s="54"/>
      <c r="AA1019" s="54"/>
      <c r="AB1019" s="54"/>
      <c r="AC1019" s="54"/>
      <c r="AD1019" s="54"/>
      <c r="AE1019" s="54"/>
      <c r="AF1019" s="54"/>
      <c r="AG1019" s="54"/>
      <c r="AH1019" s="54"/>
      <c r="AI1019" s="54"/>
      <c r="AJ1019" s="54"/>
    </row>
    <row r="1020">
      <c r="A1020" s="215"/>
      <c r="B1020" s="215"/>
      <c r="C1020" s="215"/>
      <c r="D1020" s="215"/>
      <c r="E1020" s="215"/>
      <c r="F1020" s="373"/>
      <c r="G1020" s="215"/>
      <c r="H1020" s="215"/>
      <c r="I1020" s="215"/>
      <c r="J1020" s="215"/>
      <c r="K1020" s="215"/>
      <c r="L1020" s="45" t="str">
        <f t="shared" si="1"/>
        <v/>
      </c>
      <c r="M1020" s="46" t="str">
        <f>IFERROR(__xludf.DUMMYFUNCTION("IF(Account!$F1020&lt;&gt;"""", VALUE(REGEXREPLACE($I1020, ""\,"", ""."")), """")"),"")</f>
        <v/>
      </c>
      <c r="N1020" s="47" t="str">
        <f>IF(Account!$F1020&lt;&gt;"", DATEVALUE(MID($A1020,4,3) &amp; LEFT($A1020,3) &amp; RIGHT($A1020,4)) + TIMEVALUE($B1020), "")</f>
        <v/>
      </c>
      <c r="O1020" s="48" t="str">
        <f>IF(Account!$F1020&lt;&gt;"", DATEVALUE(MID($A1020,4,3) &amp; LEFT($A1020,3) &amp; RIGHT($A1020,4)), "")</f>
        <v/>
      </c>
      <c r="P1020" s="49" t="str">
        <f>IFERROR(VLOOKUP($Q1020,Selection!$F:$G,2,false))</f>
        <v/>
      </c>
      <c r="Q1020" s="50" t="str">
        <f>IF(AND($X1020="change",$H1020="EUR"),IF(AND($Z1020="Crédit",$N1020=$N1021),$Q1021,IF(AND($Z1020="Débit",$N1020=$N1019),$Q1019)),IF(OR(AND(OR($E1020&lt;&gt;"",$L1020=""),$M1020&lt;&gt;0),$A1020=""),IFERROR(VLOOKUP($E1020,Selection!$E:$F,2,false)),IFERROR(VLOOKUP(SUBSTITUTE($I1020,"-","",1),$K1021:$Q1119,7,false),VLOOKUP($K1020,$K1021:$Q1119,7,false))))</f>
        <v/>
      </c>
      <c r="R1020" s="49" t="str">
        <f t="shared" si="2"/>
        <v/>
      </c>
      <c r="S1020" s="51" t="str">
        <f t="shared" si="3"/>
        <v/>
      </c>
      <c r="T1020" s="52" t="str">
        <f t="shared" si="4"/>
        <v/>
      </c>
      <c r="U1020" s="46" t="str">
        <f t="shared" si="5"/>
        <v/>
      </c>
      <c r="V1020" s="53" t="str">
        <f>IFERROR(__xludf.DUMMYFUNCTION(" IF(Account!$F1020&lt;&gt;"""", SPLIT(Account!$F1020, "" ""), """")"),"")</f>
        <v/>
      </c>
      <c r="W1020" s="54"/>
      <c r="X1020" s="54"/>
      <c r="Y1020" s="54"/>
      <c r="Z1020" s="54"/>
      <c r="AA1020" s="54"/>
      <c r="AB1020" s="54"/>
      <c r="AC1020" s="54"/>
      <c r="AD1020" s="54"/>
      <c r="AE1020" s="54"/>
      <c r="AF1020" s="54"/>
      <c r="AG1020" s="54"/>
      <c r="AH1020" s="54"/>
      <c r="AI1020" s="54"/>
      <c r="AJ1020" s="54"/>
    </row>
    <row r="1021">
      <c r="A1021" s="215"/>
      <c r="B1021" s="215"/>
      <c r="C1021" s="215"/>
      <c r="D1021" s="215"/>
      <c r="E1021" s="215"/>
      <c r="F1021" s="373"/>
      <c r="G1021" s="215"/>
      <c r="H1021" s="215"/>
      <c r="I1021" s="215"/>
      <c r="J1021" s="215"/>
      <c r="K1021" s="215"/>
      <c r="L1021" s="45" t="str">
        <f t="shared" si="1"/>
        <v/>
      </c>
      <c r="M1021" s="46" t="str">
        <f>IFERROR(__xludf.DUMMYFUNCTION("IF(Account!$F1021&lt;&gt;"""", VALUE(REGEXREPLACE($I1021, ""\,"", ""."")), """")"),"")</f>
        <v/>
      </c>
      <c r="N1021" s="47" t="str">
        <f>IF(Account!$F1021&lt;&gt;"", DATEVALUE(MID($A1021,4,3) &amp; LEFT($A1021,3) &amp; RIGHT($A1021,4)) + TIMEVALUE($B1021), "")</f>
        <v/>
      </c>
      <c r="O1021" s="48" t="str">
        <f>IF(Account!$F1021&lt;&gt;"", DATEVALUE(MID($A1021,4,3) &amp; LEFT($A1021,3) &amp; RIGHT($A1021,4)), "")</f>
        <v/>
      </c>
      <c r="P1021" s="49" t="str">
        <f>IFERROR(VLOOKUP($Q1021,Selection!$F:$G,2,false))</f>
        <v/>
      </c>
      <c r="Q1021" s="50" t="str">
        <f>IF(AND($X1021="change",$H1021="EUR"),IF(AND($Z1021="Crédit",$N1021=$N1022),$Q1022,IF(AND($Z1021="Débit",$N1021=$N1020),$Q1020)),IF(OR(AND(OR($E1021&lt;&gt;"",$L1021=""),$M1021&lt;&gt;0),$A1021=""),IFERROR(VLOOKUP($E1021,Selection!$E:$F,2,false)),IFERROR(VLOOKUP(SUBSTITUTE($I1021,"-","",1),$K1022:$Q1119,7,false),VLOOKUP($K1021,$K1022:$Q1119,7,false))))</f>
        <v/>
      </c>
      <c r="R1021" s="49" t="str">
        <f t="shared" si="2"/>
        <v/>
      </c>
      <c r="S1021" s="51" t="str">
        <f t="shared" si="3"/>
        <v/>
      </c>
      <c r="T1021" s="52" t="str">
        <f t="shared" si="4"/>
        <v/>
      </c>
      <c r="U1021" s="46" t="str">
        <f t="shared" si="5"/>
        <v/>
      </c>
      <c r="V1021" s="53" t="str">
        <f>IFERROR(__xludf.DUMMYFUNCTION(" IF(Account!$F1021&lt;&gt;"""", SPLIT(Account!$F1021, "" ""), """")"),"")</f>
        <v/>
      </c>
      <c r="W1021" s="54"/>
      <c r="X1021" s="54"/>
      <c r="Y1021" s="54"/>
      <c r="Z1021" s="54"/>
      <c r="AA1021" s="54"/>
      <c r="AB1021" s="54"/>
      <c r="AC1021" s="54"/>
      <c r="AD1021" s="54"/>
      <c r="AE1021" s="54"/>
      <c r="AF1021" s="54"/>
      <c r="AG1021" s="54"/>
      <c r="AH1021" s="54"/>
      <c r="AI1021" s="54"/>
      <c r="AJ1021" s="54"/>
    </row>
    <row r="1022">
      <c r="A1022" s="215"/>
      <c r="B1022" s="215"/>
      <c r="C1022" s="215"/>
      <c r="D1022" s="215"/>
      <c r="E1022" s="215"/>
      <c r="F1022" s="373"/>
      <c r="G1022" s="215"/>
      <c r="H1022" s="215"/>
      <c r="I1022" s="215"/>
      <c r="J1022" s="215"/>
      <c r="K1022" s="215"/>
      <c r="L1022" s="45" t="str">
        <f t="shared" si="1"/>
        <v/>
      </c>
      <c r="M1022" s="46" t="str">
        <f>IFERROR(__xludf.DUMMYFUNCTION("IF(Account!$F1022&lt;&gt;"""", VALUE(REGEXREPLACE($I1022, ""\,"", ""."")), """")"),"")</f>
        <v/>
      </c>
      <c r="N1022" s="47" t="str">
        <f>IF(Account!$F1022&lt;&gt;"", DATEVALUE(MID($A1022,4,3) &amp; LEFT($A1022,3) &amp; RIGHT($A1022,4)) + TIMEVALUE($B1022), "")</f>
        <v/>
      </c>
      <c r="O1022" s="48" t="str">
        <f>IF(Account!$F1022&lt;&gt;"", DATEVALUE(MID($A1022,4,3) &amp; LEFT($A1022,3) &amp; RIGHT($A1022,4)), "")</f>
        <v/>
      </c>
      <c r="P1022" s="49" t="str">
        <f>IFERROR(VLOOKUP($Q1022,Selection!$F:$G,2,false))</f>
        <v/>
      </c>
      <c r="Q1022" s="50" t="str">
        <f>IF(AND($X1022="change",$H1022="EUR"),IF(AND($Z1022="Crédit",$N1022=$N1023),$Q1023,IF(AND($Z1022="Débit",$N1022=$N1021),$Q1021)),IF(OR(AND(OR($E1022&lt;&gt;"",$L1022=""),$M1022&lt;&gt;0),$A1022=""),IFERROR(VLOOKUP($E1022,Selection!$E:$F,2,false)),IFERROR(VLOOKUP(SUBSTITUTE($I1022,"-","",1),$K1023:$Q1119,7,false),VLOOKUP($K1022,$K1023:$Q1119,7,false))))</f>
        <v/>
      </c>
      <c r="R1022" s="49" t="str">
        <f t="shared" si="2"/>
        <v/>
      </c>
      <c r="S1022" s="51" t="str">
        <f t="shared" si="3"/>
        <v/>
      </c>
      <c r="T1022" s="52" t="str">
        <f t="shared" si="4"/>
        <v/>
      </c>
      <c r="U1022" s="46" t="str">
        <f t="shared" si="5"/>
        <v/>
      </c>
      <c r="V1022" s="53" t="str">
        <f>IFERROR(__xludf.DUMMYFUNCTION(" IF(Account!$F1022&lt;&gt;"""", SPLIT(Account!$F1022, "" ""), """")"),"")</f>
        <v/>
      </c>
      <c r="W1022" s="54"/>
      <c r="X1022" s="54"/>
      <c r="Y1022" s="54"/>
      <c r="Z1022" s="54"/>
      <c r="AA1022" s="54"/>
      <c r="AB1022" s="54"/>
      <c r="AC1022" s="54"/>
      <c r="AD1022" s="54"/>
      <c r="AE1022" s="54"/>
      <c r="AF1022" s="54"/>
      <c r="AG1022" s="54"/>
      <c r="AH1022" s="54"/>
      <c r="AI1022" s="54"/>
      <c r="AJ1022" s="54"/>
    </row>
    <row r="1023">
      <c r="A1023" s="215"/>
      <c r="B1023" s="215"/>
      <c r="C1023" s="215"/>
      <c r="D1023" s="215"/>
      <c r="E1023" s="215"/>
      <c r="F1023" s="373"/>
      <c r="G1023" s="215"/>
      <c r="H1023" s="215"/>
      <c r="I1023" s="215"/>
      <c r="J1023" s="215"/>
      <c r="K1023" s="215"/>
      <c r="L1023" s="45" t="str">
        <f t="shared" si="1"/>
        <v/>
      </c>
      <c r="M1023" s="46" t="str">
        <f>IFERROR(__xludf.DUMMYFUNCTION("IF(Account!$F1023&lt;&gt;"""", VALUE(REGEXREPLACE($I1023, ""\,"", ""."")), """")"),"")</f>
        <v/>
      </c>
      <c r="N1023" s="47" t="str">
        <f>IF(Account!$F1023&lt;&gt;"", DATEVALUE(MID($A1023,4,3) &amp; LEFT($A1023,3) &amp; RIGHT($A1023,4)) + TIMEVALUE($B1023), "")</f>
        <v/>
      </c>
      <c r="O1023" s="48" t="str">
        <f>IF(Account!$F1023&lt;&gt;"", DATEVALUE(MID($A1023,4,3) &amp; LEFT($A1023,3) &amp; RIGHT($A1023,4)), "")</f>
        <v/>
      </c>
      <c r="P1023" s="49" t="str">
        <f>IFERROR(VLOOKUP($Q1023,Selection!$F:$G,2,false))</f>
        <v/>
      </c>
      <c r="Q1023" s="50" t="str">
        <f>IF(AND($X1023="change",$H1023="EUR"),IF(AND($Z1023="Crédit",$N1023=$N1024),$Q1024,IF(AND($Z1023="Débit",$N1023=$N1022),$Q1022)),IF(OR(AND(OR($E1023&lt;&gt;"",$L1023=""),$M1023&lt;&gt;0),$A1023=""),IFERROR(VLOOKUP($E1023,Selection!$E:$F,2,false)),IFERROR(VLOOKUP(SUBSTITUTE($I1023,"-","",1),$K1024:$Q1119,7,false),VLOOKUP($K1023,$K1024:$Q1119,7,false))))</f>
        <v/>
      </c>
      <c r="R1023" s="49" t="str">
        <f t="shared" si="2"/>
        <v/>
      </c>
      <c r="S1023" s="51" t="str">
        <f t="shared" si="3"/>
        <v/>
      </c>
      <c r="T1023" s="52" t="str">
        <f t="shared" si="4"/>
        <v/>
      </c>
      <c r="U1023" s="46" t="str">
        <f t="shared" si="5"/>
        <v/>
      </c>
      <c r="V1023" s="53" t="str">
        <f>IFERROR(__xludf.DUMMYFUNCTION(" IF(Account!$F1023&lt;&gt;"""", SPLIT(Account!$F1023, "" ""), """")"),"")</f>
        <v/>
      </c>
      <c r="W1023" s="54"/>
      <c r="X1023" s="54"/>
      <c r="Y1023" s="54"/>
      <c r="Z1023" s="54"/>
      <c r="AA1023" s="54"/>
      <c r="AB1023" s="54"/>
      <c r="AC1023" s="54"/>
      <c r="AD1023" s="54"/>
      <c r="AE1023" s="54"/>
      <c r="AF1023" s="54"/>
      <c r="AG1023" s="54"/>
      <c r="AH1023" s="54"/>
      <c r="AI1023" s="54"/>
      <c r="AJ1023" s="54"/>
    </row>
    <row r="1024">
      <c r="A1024" s="215"/>
      <c r="B1024" s="215"/>
      <c r="C1024" s="215"/>
      <c r="D1024" s="215"/>
      <c r="E1024" s="215"/>
      <c r="F1024" s="373"/>
      <c r="G1024" s="215"/>
      <c r="H1024" s="215"/>
      <c r="I1024" s="215"/>
      <c r="J1024" s="215"/>
      <c r="K1024" s="215"/>
      <c r="L1024" s="45" t="str">
        <f t="shared" si="1"/>
        <v/>
      </c>
      <c r="M1024" s="46" t="str">
        <f>IFERROR(__xludf.DUMMYFUNCTION("IF(Account!$F1024&lt;&gt;"""", VALUE(REGEXREPLACE($I1024, ""\,"", ""."")), """")"),"")</f>
        <v/>
      </c>
      <c r="N1024" s="47" t="str">
        <f>IF(Account!$F1024&lt;&gt;"", DATEVALUE(MID($A1024,4,3) &amp; LEFT($A1024,3) &amp; RIGHT($A1024,4)) + TIMEVALUE($B1024), "")</f>
        <v/>
      </c>
      <c r="O1024" s="48" t="str">
        <f>IF(Account!$F1024&lt;&gt;"", DATEVALUE(MID($A1024,4,3) &amp; LEFT($A1024,3) &amp; RIGHT($A1024,4)), "")</f>
        <v/>
      </c>
      <c r="P1024" s="49" t="str">
        <f>IFERROR(VLOOKUP($Q1024,Selection!$F:$G,2,false))</f>
        <v/>
      </c>
      <c r="Q1024" s="50" t="str">
        <f>IF(AND($X1024="change",$H1024="EUR"),IF(AND($Z1024="Crédit",$N1024=$N1025),$Q1025,IF(AND($Z1024="Débit",$N1024=$N1023),$Q1023)),IF(OR(AND(OR($E1024&lt;&gt;"",$L1024=""),$M1024&lt;&gt;0),$A1024=""),IFERROR(VLOOKUP($E1024,Selection!$E:$F,2,false)),IFERROR(VLOOKUP(SUBSTITUTE($I1024,"-","",1),$K1025:$Q1119,7,false),VLOOKUP($K1024,$K1025:$Q1119,7,false))))</f>
        <v/>
      </c>
      <c r="R1024" s="49" t="str">
        <f t="shared" si="2"/>
        <v/>
      </c>
      <c r="S1024" s="51" t="str">
        <f t="shared" si="3"/>
        <v/>
      </c>
      <c r="T1024" s="52" t="str">
        <f t="shared" si="4"/>
        <v/>
      </c>
      <c r="U1024" s="46" t="str">
        <f t="shared" si="5"/>
        <v/>
      </c>
      <c r="V1024" s="53" t="str">
        <f>IFERROR(__xludf.DUMMYFUNCTION(" IF(Account!$F1024&lt;&gt;"""", SPLIT(Account!$F1024, "" ""), """")"),"")</f>
        <v/>
      </c>
      <c r="W1024" s="54"/>
      <c r="X1024" s="54"/>
      <c r="Y1024" s="54"/>
      <c r="Z1024" s="54"/>
      <c r="AA1024" s="54"/>
      <c r="AB1024" s="54"/>
      <c r="AC1024" s="54"/>
      <c r="AD1024" s="54"/>
      <c r="AE1024" s="54"/>
      <c r="AF1024" s="54"/>
      <c r="AG1024" s="54"/>
      <c r="AH1024" s="54"/>
      <c r="AI1024" s="54"/>
      <c r="AJ1024" s="54"/>
    </row>
    <row r="1025">
      <c r="A1025" s="215"/>
      <c r="B1025" s="215"/>
      <c r="C1025" s="215"/>
      <c r="D1025" s="215"/>
      <c r="E1025" s="215"/>
      <c r="F1025" s="373"/>
      <c r="G1025" s="215"/>
      <c r="H1025" s="215"/>
      <c r="I1025" s="215"/>
      <c r="J1025" s="215"/>
      <c r="K1025" s="215"/>
      <c r="L1025" s="45" t="str">
        <f t="shared" si="1"/>
        <v/>
      </c>
      <c r="M1025" s="46" t="str">
        <f>IFERROR(__xludf.DUMMYFUNCTION("IF(Account!$F1025&lt;&gt;"""", VALUE(REGEXREPLACE($I1025, ""\,"", ""."")), """")"),"")</f>
        <v/>
      </c>
      <c r="N1025" s="47" t="str">
        <f>IF(Account!$F1025&lt;&gt;"", DATEVALUE(MID($A1025,4,3) &amp; LEFT($A1025,3) &amp; RIGHT($A1025,4)) + TIMEVALUE($B1025), "")</f>
        <v/>
      </c>
      <c r="O1025" s="48" t="str">
        <f>IF(Account!$F1025&lt;&gt;"", DATEVALUE(MID($A1025,4,3) &amp; LEFT($A1025,3) &amp; RIGHT($A1025,4)), "")</f>
        <v/>
      </c>
      <c r="P1025" s="49" t="str">
        <f>IFERROR(VLOOKUP($Q1025,Selection!$F:$G,2,false))</f>
        <v/>
      </c>
      <c r="Q1025" s="50" t="str">
        <f>IF(AND($X1025="change",$H1025="EUR"),IF(AND($Z1025="Crédit",$N1025=$N1026),$Q1026,IF(AND($Z1025="Débit",$N1025=$N1024),$Q1024)),IF(OR(AND(OR($E1025&lt;&gt;"",$L1025=""),$M1025&lt;&gt;0),$A1025=""),IFERROR(VLOOKUP($E1025,Selection!$E:$F,2,false)),IFERROR(VLOOKUP(SUBSTITUTE($I1025,"-","",1),$K1026:$Q1119,7,false),VLOOKUP($K1025,$K1026:$Q1119,7,false))))</f>
        <v/>
      </c>
      <c r="R1025" s="49" t="str">
        <f t="shared" si="2"/>
        <v/>
      </c>
      <c r="S1025" s="51" t="str">
        <f t="shared" si="3"/>
        <v/>
      </c>
      <c r="T1025" s="52" t="str">
        <f t="shared" si="4"/>
        <v/>
      </c>
      <c r="U1025" s="46" t="str">
        <f t="shared" si="5"/>
        <v/>
      </c>
      <c r="V1025" s="53" t="str">
        <f>IFERROR(__xludf.DUMMYFUNCTION(" IF(Account!$F1025&lt;&gt;"""", SPLIT(Account!$F1025, "" ""), """")"),"")</f>
        <v/>
      </c>
      <c r="W1025" s="54"/>
      <c r="X1025" s="54"/>
      <c r="Y1025" s="54"/>
      <c r="Z1025" s="54"/>
      <c r="AA1025" s="54"/>
      <c r="AB1025" s="54"/>
      <c r="AC1025" s="54"/>
      <c r="AD1025" s="54"/>
      <c r="AE1025" s="54"/>
      <c r="AF1025" s="54"/>
      <c r="AG1025" s="54"/>
      <c r="AH1025" s="54"/>
      <c r="AI1025" s="54"/>
      <c r="AJ1025" s="54"/>
    </row>
    <row r="1026">
      <c r="A1026" s="215"/>
      <c r="B1026" s="215"/>
      <c r="C1026" s="215"/>
      <c r="D1026" s="215"/>
      <c r="E1026" s="215"/>
      <c r="F1026" s="373"/>
      <c r="G1026" s="215"/>
      <c r="H1026" s="215"/>
      <c r="I1026" s="215"/>
      <c r="J1026" s="215"/>
      <c r="K1026" s="215"/>
      <c r="L1026" s="45" t="str">
        <f t="shared" si="1"/>
        <v/>
      </c>
      <c r="M1026" s="46" t="str">
        <f>IFERROR(__xludf.DUMMYFUNCTION("IF(Account!$F1026&lt;&gt;"""", VALUE(REGEXREPLACE($I1026, ""\,"", ""."")), """")"),"")</f>
        <v/>
      </c>
      <c r="N1026" s="47" t="str">
        <f>IF(Account!$F1026&lt;&gt;"", DATEVALUE(MID($A1026,4,3) &amp; LEFT($A1026,3) &amp; RIGHT($A1026,4)) + TIMEVALUE($B1026), "")</f>
        <v/>
      </c>
      <c r="O1026" s="48" t="str">
        <f>IF(Account!$F1026&lt;&gt;"", DATEVALUE(MID($A1026,4,3) &amp; LEFT($A1026,3) &amp; RIGHT($A1026,4)), "")</f>
        <v/>
      </c>
      <c r="P1026" s="49" t="str">
        <f>IFERROR(VLOOKUP($Q1026,Selection!$F:$G,2,false))</f>
        <v/>
      </c>
      <c r="Q1026" s="50" t="str">
        <f>IF(AND($X1026="change",$H1026="EUR"),IF(AND($Z1026="Crédit",$N1026=$N1027),$Q1027,IF(AND($Z1026="Débit",$N1026=$N1025),$Q1025)),IF(OR(AND(OR($E1026&lt;&gt;"",$L1026=""),$M1026&lt;&gt;0),$A1026=""),IFERROR(VLOOKUP($E1026,Selection!$E:$F,2,false)),IFERROR(VLOOKUP(SUBSTITUTE($I1026,"-","",1),$K1027:$Q1119,7,false),VLOOKUP($K1026,$K1027:$Q1119,7,false))))</f>
        <v/>
      </c>
      <c r="R1026" s="49" t="str">
        <f t="shared" si="2"/>
        <v/>
      </c>
      <c r="S1026" s="51" t="str">
        <f t="shared" si="3"/>
        <v/>
      </c>
      <c r="T1026" s="52" t="str">
        <f t="shared" si="4"/>
        <v/>
      </c>
      <c r="U1026" s="46" t="str">
        <f t="shared" si="5"/>
        <v/>
      </c>
      <c r="V1026" s="53" t="str">
        <f>IFERROR(__xludf.DUMMYFUNCTION(" IF(Account!$F1026&lt;&gt;"""", SPLIT(Account!$F1026, "" ""), """")"),"")</f>
        <v/>
      </c>
      <c r="W1026" s="54"/>
      <c r="X1026" s="54"/>
      <c r="Y1026" s="54"/>
      <c r="Z1026" s="54"/>
      <c r="AA1026" s="54"/>
      <c r="AB1026" s="54"/>
      <c r="AC1026" s="54"/>
      <c r="AD1026" s="54"/>
      <c r="AE1026" s="54"/>
      <c r="AF1026" s="54"/>
      <c r="AG1026" s="54"/>
      <c r="AH1026" s="54"/>
      <c r="AI1026" s="54"/>
      <c r="AJ1026" s="54"/>
    </row>
    <row r="1027">
      <c r="A1027" s="215"/>
      <c r="B1027" s="215"/>
      <c r="C1027" s="215"/>
      <c r="D1027" s="215"/>
      <c r="E1027" s="215"/>
      <c r="F1027" s="373"/>
      <c r="G1027" s="215"/>
      <c r="H1027" s="215"/>
      <c r="I1027" s="215"/>
      <c r="J1027" s="215"/>
      <c r="K1027" s="215"/>
      <c r="L1027" s="45" t="str">
        <f t="shared" si="1"/>
        <v/>
      </c>
      <c r="M1027" s="46" t="str">
        <f>IFERROR(__xludf.DUMMYFUNCTION("IF(Account!$F1027&lt;&gt;"""", VALUE(REGEXREPLACE($I1027, ""\,"", ""."")), """")"),"")</f>
        <v/>
      </c>
      <c r="N1027" s="47" t="str">
        <f>IF(Account!$F1027&lt;&gt;"", DATEVALUE(MID($A1027,4,3) &amp; LEFT($A1027,3) &amp; RIGHT($A1027,4)) + TIMEVALUE($B1027), "")</f>
        <v/>
      </c>
      <c r="O1027" s="48" t="str">
        <f>IF(Account!$F1027&lt;&gt;"", DATEVALUE(MID($A1027,4,3) &amp; LEFT($A1027,3) &amp; RIGHT($A1027,4)), "")</f>
        <v/>
      </c>
      <c r="P1027" s="49" t="str">
        <f>IFERROR(VLOOKUP($Q1027,Selection!$F:$G,2,false))</f>
        <v/>
      </c>
      <c r="Q1027" s="50" t="str">
        <f>IF(AND($X1027="change",$H1027="EUR"),IF(AND($Z1027="Crédit",$N1027=$N1028),$Q1028,IF(AND($Z1027="Débit",$N1027=$N1026),$Q1026)),IF(OR(AND(OR($E1027&lt;&gt;"",$L1027=""),$M1027&lt;&gt;0),$A1027=""),IFERROR(VLOOKUP($E1027,Selection!$E:$F,2,false)),IFERROR(VLOOKUP(SUBSTITUTE($I1027,"-","",1),$K1028:$Q1119,7,false),VLOOKUP($K1027,$K1028:$Q1119,7,false))))</f>
        <v/>
      </c>
      <c r="R1027" s="49" t="str">
        <f t="shared" si="2"/>
        <v/>
      </c>
      <c r="S1027" s="51" t="str">
        <f t="shared" si="3"/>
        <v/>
      </c>
      <c r="T1027" s="52" t="str">
        <f t="shared" si="4"/>
        <v/>
      </c>
      <c r="U1027" s="46" t="str">
        <f t="shared" si="5"/>
        <v/>
      </c>
      <c r="V1027" s="53" t="str">
        <f>IFERROR(__xludf.DUMMYFUNCTION(" IF(Account!$F1027&lt;&gt;"""", SPLIT(Account!$F1027, "" ""), """")"),"")</f>
        <v/>
      </c>
      <c r="W1027" s="54"/>
      <c r="X1027" s="54"/>
      <c r="Y1027" s="54"/>
      <c r="Z1027" s="54"/>
      <c r="AA1027" s="54"/>
      <c r="AB1027" s="54"/>
      <c r="AC1027" s="54"/>
      <c r="AD1027" s="54"/>
      <c r="AE1027" s="54"/>
      <c r="AF1027" s="54"/>
      <c r="AG1027" s="54"/>
      <c r="AH1027" s="54"/>
      <c r="AI1027" s="54"/>
      <c r="AJ1027" s="54"/>
    </row>
    <row r="1028">
      <c r="A1028" s="215"/>
      <c r="B1028" s="215"/>
      <c r="C1028" s="215"/>
      <c r="D1028" s="215"/>
      <c r="E1028" s="215"/>
      <c r="F1028" s="373"/>
      <c r="G1028" s="215"/>
      <c r="H1028" s="215"/>
      <c r="I1028" s="215"/>
      <c r="J1028" s="215"/>
      <c r="K1028" s="215"/>
      <c r="L1028" s="45" t="str">
        <f t="shared" si="1"/>
        <v/>
      </c>
      <c r="M1028" s="46" t="str">
        <f>IFERROR(__xludf.DUMMYFUNCTION("IF(Account!$F1028&lt;&gt;"""", VALUE(REGEXREPLACE($I1028, ""\,"", ""."")), """")"),"")</f>
        <v/>
      </c>
      <c r="N1028" s="47" t="str">
        <f>IF(Account!$F1028&lt;&gt;"", DATEVALUE(MID($A1028,4,3) &amp; LEFT($A1028,3) &amp; RIGHT($A1028,4)) + TIMEVALUE($B1028), "")</f>
        <v/>
      </c>
      <c r="O1028" s="48" t="str">
        <f>IF(Account!$F1028&lt;&gt;"", DATEVALUE(MID($A1028,4,3) &amp; LEFT($A1028,3) &amp; RIGHT($A1028,4)), "")</f>
        <v/>
      </c>
      <c r="P1028" s="49" t="str">
        <f>IFERROR(VLOOKUP($Q1028,Selection!$F:$G,2,false))</f>
        <v/>
      </c>
      <c r="Q1028" s="50" t="str">
        <f>IF(AND($X1028="change",$H1028="EUR"),IF(AND($Z1028="Crédit",$N1028=$N1029),$Q1029,IF(AND($Z1028="Débit",$N1028=$N1027),$Q1027)),IF(OR(AND(OR($E1028&lt;&gt;"",$L1028=""),$M1028&lt;&gt;0),$A1028=""),IFERROR(VLOOKUP($E1028,Selection!$E:$F,2,false)),IFERROR(VLOOKUP(SUBSTITUTE($I1028,"-","",1),$K1029:$Q1119,7,false),VLOOKUP($K1028,$K1029:$Q1119,7,false))))</f>
        <v/>
      </c>
      <c r="R1028" s="49" t="str">
        <f t="shared" si="2"/>
        <v/>
      </c>
      <c r="S1028" s="51" t="str">
        <f t="shared" si="3"/>
        <v/>
      </c>
      <c r="T1028" s="52" t="str">
        <f t="shared" si="4"/>
        <v/>
      </c>
      <c r="U1028" s="46" t="str">
        <f t="shared" si="5"/>
        <v/>
      </c>
      <c r="V1028" s="53" t="str">
        <f>IFERROR(__xludf.DUMMYFUNCTION(" IF(Account!$F1028&lt;&gt;"""", SPLIT(Account!$F1028, "" ""), """")"),"")</f>
        <v/>
      </c>
      <c r="W1028" s="54"/>
      <c r="X1028" s="54"/>
      <c r="Y1028" s="54"/>
      <c r="Z1028" s="54"/>
      <c r="AA1028" s="54"/>
      <c r="AB1028" s="54"/>
      <c r="AC1028" s="54"/>
      <c r="AD1028" s="54"/>
      <c r="AE1028" s="54"/>
      <c r="AF1028" s="54"/>
      <c r="AG1028" s="54"/>
      <c r="AH1028" s="54"/>
      <c r="AI1028" s="54"/>
      <c r="AJ1028" s="54"/>
    </row>
    <row r="1029">
      <c r="A1029" s="215"/>
      <c r="B1029" s="215"/>
      <c r="C1029" s="215"/>
      <c r="D1029" s="215"/>
      <c r="E1029" s="215"/>
      <c r="F1029" s="373"/>
      <c r="G1029" s="215"/>
      <c r="H1029" s="215"/>
      <c r="I1029" s="215"/>
      <c r="J1029" s="215"/>
      <c r="K1029" s="215"/>
      <c r="L1029" s="45" t="str">
        <f t="shared" si="1"/>
        <v/>
      </c>
      <c r="M1029" s="46" t="str">
        <f>IFERROR(__xludf.DUMMYFUNCTION("IF(Account!$F1029&lt;&gt;"""", VALUE(REGEXREPLACE($I1029, ""\,"", ""."")), """")"),"")</f>
        <v/>
      </c>
      <c r="N1029" s="47" t="str">
        <f>IF(Account!$F1029&lt;&gt;"", DATEVALUE(MID($A1029,4,3) &amp; LEFT($A1029,3) &amp; RIGHT($A1029,4)) + TIMEVALUE($B1029), "")</f>
        <v/>
      </c>
      <c r="O1029" s="48" t="str">
        <f>IF(Account!$F1029&lt;&gt;"", DATEVALUE(MID($A1029,4,3) &amp; LEFT($A1029,3) &amp; RIGHT($A1029,4)), "")</f>
        <v/>
      </c>
      <c r="P1029" s="49" t="str">
        <f>IFERROR(VLOOKUP($Q1029,Selection!$F:$G,2,false))</f>
        <v/>
      </c>
      <c r="Q1029" s="50" t="str">
        <f>IF(AND($X1029="change",$H1029="EUR"),IF(AND($Z1029="Crédit",$N1029=$N1030),$Q1030,IF(AND($Z1029="Débit",$N1029=$N1028),$Q1028)),IF(OR(AND(OR($E1029&lt;&gt;"",$L1029=""),$M1029&lt;&gt;0),$A1029=""),IFERROR(VLOOKUP($E1029,Selection!$E:$F,2,false)),IFERROR(VLOOKUP(SUBSTITUTE($I1029,"-","",1),$K1030:$Q1119,7,false),VLOOKUP($K1029,$K1030:$Q1119,7,false))))</f>
        <v/>
      </c>
      <c r="R1029" s="49" t="str">
        <f t="shared" si="2"/>
        <v/>
      </c>
      <c r="S1029" s="51" t="str">
        <f t="shared" si="3"/>
        <v/>
      </c>
      <c r="T1029" s="52" t="str">
        <f t="shared" si="4"/>
        <v/>
      </c>
      <c r="U1029" s="46" t="str">
        <f t="shared" si="5"/>
        <v/>
      </c>
      <c r="V1029" s="53" t="str">
        <f>IFERROR(__xludf.DUMMYFUNCTION(" IF(Account!$F1029&lt;&gt;"""", SPLIT(Account!$F1029, "" ""), """")"),"")</f>
        <v/>
      </c>
      <c r="W1029" s="54"/>
      <c r="X1029" s="54"/>
      <c r="Y1029" s="54"/>
      <c r="Z1029" s="54"/>
      <c r="AA1029" s="54"/>
      <c r="AB1029" s="54"/>
      <c r="AC1029" s="54"/>
      <c r="AD1029" s="54"/>
      <c r="AE1029" s="54"/>
      <c r="AF1029" s="54"/>
      <c r="AG1029" s="54"/>
      <c r="AH1029" s="54"/>
      <c r="AI1029" s="54"/>
      <c r="AJ1029" s="54"/>
    </row>
    <row r="1030">
      <c r="A1030" s="215"/>
      <c r="B1030" s="215"/>
      <c r="C1030" s="215"/>
      <c r="D1030" s="215"/>
      <c r="E1030" s="215"/>
      <c r="F1030" s="373"/>
      <c r="G1030" s="215"/>
      <c r="H1030" s="215"/>
      <c r="I1030" s="215"/>
      <c r="J1030" s="215"/>
      <c r="K1030" s="215"/>
      <c r="L1030" s="45" t="str">
        <f t="shared" si="1"/>
        <v/>
      </c>
      <c r="M1030" s="46" t="str">
        <f>IFERROR(__xludf.DUMMYFUNCTION("IF(Account!$F1030&lt;&gt;"""", VALUE(REGEXREPLACE($I1030, ""\,"", ""."")), """")"),"")</f>
        <v/>
      </c>
      <c r="N1030" s="47" t="str">
        <f>IF(Account!$F1030&lt;&gt;"", DATEVALUE(MID($A1030,4,3) &amp; LEFT($A1030,3) &amp; RIGHT($A1030,4)) + TIMEVALUE($B1030), "")</f>
        <v/>
      </c>
      <c r="O1030" s="48" t="str">
        <f>IF(Account!$F1030&lt;&gt;"", DATEVALUE(MID($A1030,4,3) &amp; LEFT($A1030,3) &amp; RIGHT($A1030,4)), "")</f>
        <v/>
      </c>
      <c r="P1030" s="49" t="str">
        <f>IFERROR(VLOOKUP($Q1030,Selection!$F:$G,2,false))</f>
        <v/>
      </c>
      <c r="Q1030" s="50" t="str">
        <f>IF(AND($X1030="change",$H1030="EUR"),IF(AND($Z1030="Crédit",$N1030=$N1031),$Q1031,IF(AND($Z1030="Débit",$N1030=$N1029),$Q1029)),IF(OR(AND(OR($E1030&lt;&gt;"",$L1030=""),$M1030&lt;&gt;0),$A1030=""),IFERROR(VLOOKUP($E1030,Selection!$E:$F,2,false)),IFERROR(VLOOKUP(SUBSTITUTE($I1030,"-","",1),$K1031:$Q1119,7,false),VLOOKUP($K1030,$K1031:$Q1119,7,false))))</f>
        <v/>
      </c>
      <c r="R1030" s="49" t="str">
        <f t="shared" si="2"/>
        <v/>
      </c>
      <c r="S1030" s="51" t="str">
        <f t="shared" si="3"/>
        <v/>
      </c>
      <c r="T1030" s="52" t="str">
        <f t="shared" si="4"/>
        <v/>
      </c>
      <c r="U1030" s="46" t="str">
        <f t="shared" si="5"/>
        <v/>
      </c>
      <c r="V1030" s="53" t="str">
        <f>IFERROR(__xludf.DUMMYFUNCTION(" IF(Account!$F1030&lt;&gt;"""", SPLIT(Account!$F1030, "" ""), """")"),"")</f>
        <v/>
      </c>
      <c r="W1030" s="54"/>
      <c r="X1030" s="54"/>
      <c r="Y1030" s="54"/>
      <c r="Z1030" s="54"/>
      <c r="AA1030" s="54"/>
      <c r="AB1030" s="54"/>
      <c r="AC1030" s="54"/>
      <c r="AD1030" s="54"/>
      <c r="AE1030" s="54"/>
      <c r="AF1030" s="54"/>
      <c r="AG1030" s="54"/>
      <c r="AH1030" s="54"/>
      <c r="AI1030" s="54"/>
      <c r="AJ1030" s="54"/>
    </row>
    <row r="1031">
      <c r="A1031" s="215"/>
      <c r="B1031" s="215"/>
      <c r="C1031" s="215"/>
      <c r="D1031" s="215"/>
      <c r="E1031" s="215"/>
      <c r="F1031" s="373"/>
      <c r="G1031" s="215"/>
      <c r="H1031" s="215"/>
      <c r="I1031" s="215"/>
      <c r="J1031" s="215"/>
      <c r="K1031" s="215"/>
      <c r="L1031" s="45" t="str">
        <f t="shared" si="1"/>
        <v/>
      </c>
      <c r="M1031" s="46" t="str">
        <f>IFERROR(__xludf.DUMMYFUNCTION("IF(Account!$F1031&lt;&gt;"""", VALUE(REGEXREPLACE($I1031, ""\,"", ""."")), """")"),"")</f>
        <v/>
      </c>
      <c r="N1031" s="47" t="str">
        <f>IF(Account!$F1031&lt;&gt;"", DATEVALUE(MID($A1031,4,3) &amp; LEFT($A1031,3) &amp; RIGHT($A1031,4)) + TIMEVALUE($B1031), "")</f>
        <v/>
      </c>
      <c r="O1031" s="48" t="str">
        <f>IF(Account!$F1031&lt;&gt;"", DATEVALUE(MID($A1031,4,3) &amp; LEFT($A1031,3) &amp; RIGHT($A1031,4)), "")</f>
        <v/>
      </c>
      <c r="P1031" s="49" t="str">
        <f>IFERROR(VLOOKUP($Q1031,Selection!$F:$G,2,false))</f>
        <v/>
      </c>
      <c r="Q1031" s="50" t="str">
        <f>IF(AND($X1031="change",$H1031="EUR"),IF(AND($Z1031="Crédit",$N1031=$N1032),$Q1032,IF(AND($Z1031="Débit",$N1031=$N1030),$Q1030)),IF(OR(AND(OR($E1031&lt;&gt;"",$L1031=""),$M1031&lt;&gt;0),$A1031=""),IFERROR(VLOOKUP($E1031,Selection!$E:$F,2,false)),IFERROR(VLOOKUP(SUBSTITUTE($I1031,"-","",1),$K1032:$Q1119,7,false),VLOOKUP($K1031,$K1032:$Q1119,7,false))))</f>
        <v/>
      </c>
      <c r="R1031" s="49" t="str">
        <f t="shared" si="2"/>
        <v/>
      </c>
      <c r="S1031" s="51" t="str">
        <f t="shared" si="3"/>
        <v/>
      </c>
      <c r="T1031" s="52" t="str">
        <f t="shared" si="4"/>
        <v/>
      </c>
      <c r="U1031" s="46" t="str">
        <f t="shared" si="5"/>
        <v/>
      </c>
      <c r="V1031" s="53" t="str">
        <f>IFERROR(__xludf.DUMMYFUNCTION(" IF(Account!$F1031&lt;&gt;"""", SPLIT(Account!$F1031, "" ""), """")"),"")</f>
        <v/>
      </c>
      <c r="W1031" s="54"/>
      <c r="X1031" s="54"/>
      <c r="Y1031" s="54"/>
      <c r="Z1031" s="54"/>
      <c r="AA1031" s="54"/>
      <c r="AB1031" s="54"/>
      <c r="AC1031" s="54"/>
      <c r="AD1031" s="54"/>
      <c r="AE1031" s="54"/>
      <c r="AF1031" s="54"/>
      <c r="AG1031" s="54"/>
      <c r="AH1031" s="54"/>
      <c r="AI1031" s="54"/>
      <c r="AJ1031" s="54"/>
    </row>
    <row r="1032">
      <c r="A1032" s="215"/>
      <c r="B1032" s="215"/>
      <c r="C1032" s="215"/>
      <c r="D1032" s="215"/>
      <c r="E1032" s="215"/>
      <c r="F1032" s="373"/>
      <c r="G1032" s="215"/>
      <c r="H1032" s="215"/>
      <c r="I1032" s="215"/>
      <c r="J1032" s="215"/>
      <c r="K1032" s="215"/>
      <c r="L1032" s="45" t="str">
        <f t="shared" si="1"/>
        <v/>
      </c>
      <c r="M1032" s="46" t="str">
        <f>IFERROR(__xludf.DUMMYFUNCTION("IF(Account!$F1032&lt;&gt;"""", VALUE(REGEXREPLACE($I1032, ""\,"", ""."")), """")"),"")</f>
        <v/>
      </c>
      <c r="N1032" s="47" t="str">
        <f>IF(Account!$F1032&lt;&gt;"", DATEVALUE(MID($A1032,4,3) &amp; LEFT($A1032,3) &amp; RIGHT($A1032,4)) + TIMEVALUE($B1032), "")</f>
        <v/>
      </c>
      <c r="O1032" s="48" t="str">
        <f>IF(Account!$F1032&lt;&gt;"", DATEVALUE(MID($A1032,4,3) &amp; LEFT($A1032,3) &amp; RIGHT($A1032,4)), "")</f>
        <v/>
      </c>
      <c r="P1032" s="49" t="str">
        <f>IFERROR(VLOOKUP($Q1032,Selection!$F:$G,2,false))</f>
        <v/>
      </c>
      <c r="Q1032" s="50" t="str">
        <f>IF(AND($X1032="change",$H1032="EUR"),IF(AND($Z1032="Crédit",$N1032=$N1033),$Q1033,IF(AND($Z1032="Débit",$N1032=$N1031),$Q1031)),IF(OR(AND(OR($E1032&lt;&gt;"",$L1032=""),$M1032&lt;&gt;0),$A1032=""),IFERROR(VLOOKUP($E1032,Selection!$E:$F,2,false)),IFERROR(VLOOKUP(SUBSTITUTE($I1032,"-","",1),$K1033:$Q1119,7,false),VLOOKUP($K1032,$K1033:$Q1119,7,false))))</f>
        <v/>
      </c>
      <c r="R1032" s="49" t="str">
        <f t="shared" si="2"/>
        <v/>
      </c>
      <c r="S1032" s="51" t="str">
        <f t="shared" si="3"/>
        <v/>
      </c>
      <c r="T1032" s="52" t="str">
        <f t="shared" si="4"/>
        <v/>
      </c>
      <c r="U1032" s="46" t="str">
        <f t="shared" si="5"/>
        <v/>
      </c>
      <c r="V1032" s="53" t="str">
        <f>IFERROR(__xludf.DUMMYFUNCTION(" IF(Account!$F1032&lt;&gt;"""", SPLIT(Account!$F1032, "" ""), """")"),"")</f>
        <v/>
      </c>
      <c r="W1032" s="54"/>
      <c r="X1032" s="54"/>
      <c r="Y1032" s="54"/>
      <c r="Z1032" s="54"/>
      <c r="AA1032" s="54"/>
      <c r="AB1032" s="54"/>
      <c r="AC1032" s="54"/>
      <c r="AD1032" s="54"/>
      <c r="AE1032" s="54"/>
      <c r="AF1032" s="54"/>
      <c r="AG1032" s="54"/>
      <c r="AH1032" s="54"/>
      <c r="AI1032" s="54"/>
      <c r="AJ1032" s="54"/>
    </row>
    <row r="1033">
      <c r="A1033" s="215"/>
      <c r="B1033" s="215"/>
      <c r="C1033" s="215"/>
      <c r="D1033" s="215"/>
      <c r="E1033" s="215"/>
      <c r="F1033" s="373"/>
      <c r="G1033" s="215"/>
      <c r="H1033" s="215"/>
      <c r="I1033" s="215"/>
      <c r="J1033" s="215"/>
      <c r="K1033" s="215"/>
      <c r="L1033" s="45" t="str">
        <f t="shared" si="1"/>
        <v/>
      </c>
      <c r="M1033" s="46" t="str">
        <f>IFERROR(__xludf.DUMMYFUNCTION("IF(Account!$F1033&lt;&gt;"""", VALUE(REGEXREPLACE($I1033, ""\,"", ""."")), """")"),"")</f>
        <v/>
      </c>
      <c r="N1033" s="47" t="str">
        <f>IF(Account!$F1033&lt;&gt;"", DATEVALUE(MID($A1033,4,3) &amp; LEFT($A1033,3) &amp; RIGHT($A1033,4)) + TIMEVALUE($B1033), "")</f>
        <v/>
      </c>
      <c r="O1033" s="48" t="str">
        <f>IF(Account!$F1033&lt;&gt;"", DATEVALUE(MID($A1033,4,3) &amp; LEFT($A1033,3) &amp; RIGHT($A1033,4)), "")</f>
        <v/>
      </c>
      <c r="P1033" s="49" t="str">
        <f>IFERROR(VLOOKUP($Q1033,Selection!$F:$G,2,false))</f>
        <v/>
      </c>
      <c r="Q1033" s="50" t="str">
        <f>IF(AND($X1033="change",$H1033="EUR"),IF(AND($Z1033="Crédit",$N1033=$N1034),$Q1034,IF(AND($Z1033="Débit",$N1033=$N1032),$Q1032)),IF(OR(AND(OR($E1033&lt;&gt;"",$L1033=""),$M1033&lt;&gt;0),$A1033=""),IFERROR(VLOOKUP($E1033,Selection!$E:$F,2,false)),IFERROR(VLOOKUP(SUBSTITUTE($I1033,"-","",1),$K1034:$Q1119,7,false),VLOOKUP($K1033,$K1034:$Q1119,7,false))))</f>
        <v/>
      </c>
      <c r="R1033" s="49" t="str">
        <f t="shared" si="2"/>
        <v/>
      </c>
      <c r="S1033" s="51" t="str">
        <f t="shared" si="3"/>
        <v/>
      </c>
      <c r="T1033" s="52" t="str">
        <f t="shared" si="4"/>
        <v/>
      </c>
      <c r="U1033" s="46" t="str">
        <f t="shared" si="5"/>
        <v/>
      </c>
      <c r="V1033" s="53" t="str">
        <f>IFERROR(__xludf.DUMMYFUNCTION(" IF(Account!$F1033&lt;&gt;"""", SPLIT(Account!$F1033, "" ""), """")"),"")</f>
        <v/>
      </c>
      <c r="W1033" s="54"/>
      <c r="X1033" s="54"/>
      <c r="Y1033" s="54"/>
      <c r="Z1033" s="54"/>
      <c r="AA1033" s="54"/>
      <c r="AB1033" s="54"/>
      <c r="AC1033" s="54"/>
      <c r="AD1033" s="54"/>
      <c r="AE1033" s="54"/>
      <c r="AF1033" s="54"/>
      <c r="AG1033" s="54"/>
      <c r="AH1033" s="54"/>
      <c r="AI1033" s="54"/>
      <c r="AJ1033" s="54"/>
    </row>
    <row r="1034">
      <c r="A1034" s="215"/>
      <c r="B1034" s="215"/>
      <c r="C1034" s="215"/>
      <c r="D1034" s="215"/>
      <c r="E1034" s="215"/>
      <c r="F1034" s="373"/>
      <c r="G1034" s="215"/>
      <c r="H1034" s="215"/>
      <c r="I1034" s="215"/>
      <c r="J1034" s="215"/>
      <c r="K1034" s="215"/>
      <c r="L1034" s="45" t="str">
        <f t="shared" si="1"/>
        <v/>
      </c>
      <c r="M1034" s="46" t="str">
        <f>IFERROR(__xludf.DUMMYFUNCTION("IF(Account!$F1034&lt;&gt;"""", VALUE(REGEXREPLACE($I1034, ""\,"", ""."")), """")"),"")</f>
        <v/>
      </c>
      <c r="N1034" s="47" t="str">
        <f>IF(Account!$F1034&lt;&gt;"", DATEVALUE(MID($A1034,4,3) &amp; LEFT($A1034,3) &amp; RIGHT($A1034,4)) + TIMEVALUE($B1034), "")</f>
        <v/>
      </c>
      <c r="O1034" s="48" t="str">
        <f>IF(Account!$F1034&lt;&gt;"", DATEVALUE(MID($A1034,4,3) &amp; LEFT($A1034,3) &amp; RIGHT($A1034,4)), "")</f>
        <v/>
      </c>
      <c r="P1034" s="49" t="str">
        <f>IFERROR(VLOOKUP($Q1034,Selection!$F:$G,2,false))</f>
        <v/>
      </c>
      <c r="Q1034" s="50" t="str">
        <f>IF(AND($X1034="change",$H1034="EUR"),IF(AND($Z1034="Crédit",$N1034=$N1035),$Q1035,IF(AND($Z1034="Débit",$N1034=$N1033),$Q1033)),IF(OR(AND(OR($E1034&lt;&gt;"",$L1034=""),$M1034&lt;&gt;0),$A1034=""),IFERROR(VLOOKUP($E1034,Selection!$E:$F,2,false)),IFERROR(VLOOKUP(SUBSTITUTE($I1034,"-","",1),$K1035:$Q1119,7,false),VLOOKUP($K1034,$K1035:$Q1119,7,false))))</f>
        <v/>
      </c>
      <c r="R1034" s="49" t="str">
        <f t="shared" si="2"/>
        <v/>
      </c>
      <c r="S1034" s="51" t="str">
        <f t="shared" si="3"/>
        <v/>
      </c>
      <c r="T1034" s="52" t="str">
        <f t="shared" si="4"/>
        <v/>
      </c>
      <c r="U1034" s="46" t="str">
        <f t="shared" si="5"/>
        <v/>
      </c>
      <c r="V1034" s="53" t="str">
        <f>IFERROR(__xludf.DUMMYFUNCTION(" IF(Account!$F1034&lt;&gt;"""", SPLIT(Account!$F1034, "" ""), """")"),"")</f>
        <v/>
      </c>
      <c r="W1034" s="54"/>
      <c r="X1034" s="54"/>
      <c r="Y1034" s="54"/>
      <c r="Z1034" s="54"/>
      <c r="AA1034" s="54"/>
      <c r="AB1034" s="54"/>
      <c r="AC1034" s="54"/>
      <c r="AD1034" s="54"/>
      <c r="AE1034" s="54"/>
      <c r="AF1034" s="54"/>
      <c r="AG1034" s="54"/>
      <c r="AH1034" s="54"/>
      <c r="AI1034" s="54"/>
      <c r="AJ1034" s="54"/>
    </row>
    <row r="1035">
      <c r="A1035" s="215"/>
      <c r="B1035" s="215"/>
      <c r="C1035" s="215"/>
      <c r="D1035" s="215"/>
      <c r="E1035" s="215"/>
      <c r="F1035" s="373"/>
      <c r="G1035" s="215"/>
      <c r="H1035" s="215"/>
      <c r="I1035" s="215"/>
      <c r="J1035" s="215"/>
      <c r="K1035" s="215"/>
      <c r="L1035" s="45" t="str">
        <f t="shared" si="1"/>
        <v/>
      </c>
      <c r="M1035" s="46" t="str">
        <f>IFERROR(__xludf.DUMMYFUNCTION("IF(Account!$F1035&lt;&gt;"""", VALUE(REGEXREPLACE($I1035, ""\,"", ""."")), """")"),"")</f>
        <v/>
      </c>
      <c r="N1035" s="47" t="str">
        <f>IF(Account!$F1035&lt;&gt;"", DATEVALUE(MID($A1035,4,3) &amp; LEFT($A1035,3) &amp; RIGHT($A1035,4)) + TIMEVALUE($B1035), "")</f>
        <v/>
      </c>
      <c r="O1035" s="48" t="str">
        <f>IF(Account!$F1035&lt;&gt;"", DATEVALUE(MID($A1035,4,3) &amp; LEFT($A1035,3) &amp; RIGHT($A1035,4)), "")</f>
        <v/>
      </c>
      <c r="P1035" s="49" t="str">
        <f>IFERROR(VLOOKUP($Q1035,Selection!$F:$G,2,false))</f>
        <v/>
      </c>
      <c r="Q1035" s="50" t="str">
        <f>IF(AND($X1035="change",$H1035="EUR"),IF(AND($Z1035="Crédit",$N1035=$N1036),$Q1036,IF(AND($Z1035="Débit",$N1035=$N1034),$Q1034)),IF(OR(AND(OR($E1035&lt;&gt;"",$L1035=""),$M1035&lt;&gt;0),$A1035=""),IFERROR(VLOOKUP($E1035,Selection!$E:$F,2,false)),IFERROR(VLOOKUP(SUBSTITUTE($I1035,"-","",1),$K1036:$Q1119,7,false),VLOOKUP($K1035,$K1036:$Q1119,7,false))))</f>
        <v/>
      </c>
      <c r="R1035" s="49" t="str">
        <f t="shared" si="2"/>
        <v/>
      </c>
      <c r="S1035" s="51" t="str">
        <f t="shared" si="3"/>
        <v/>
      </c>
      <c r="T1035" s="52" t="str">
        <f t="shared" si="4"/>
        <v/>
      </c>
      <c r="U1035" s="46" t="str">
        <f t="shared" si="5"/>
        <v/>
      </c>
      <c r="V1035" s="53" t="str">
        <f>IFERROR(__xludf.DUMMYFUNCTION(" IF(Account!$F1035&lt;&gt;"""", SPLIT(Account!$F1035, "" ""), """")"),"")</f>
        <v/>
      </c>
      <c r="W1035" s="54"/>
      <c r="X1035" s="54"/>
      <c r="Y1035" s="54"/>
      <c r="Z1035" s="54"/>
      <c r="AA1035" s="54"/>
      <c r="AB1035" s="54"/>
      <c r="AC1035" s="54"/>
      <c r="AD1035" s="54"/>
      <c r="AE1035" s="54"/>
      <c r="AF1035" s="54"/>
      <c r="AG1035" s="54"/>
      <c r="AH1035" s="54"/>
      <c r="AI1035" s="54"/>
      <c r="AJ1035" s="54"/>
    </row>
    <row r="1036">
      <c r="A1036" s="215"/>
      <c r="B1036" s="215"/>
      <c r="C1036" s="215"/>
      <c r="D1036" s="215"/>
      <c r="E1036" s="215"/>
      <c r="F1036" s="373"/>
      <c r="G1036" s="215"/>
      <c r="H1036" s="215"/>
      <c r="I1036" s="215"/>
      <c r="J1036" s="215"/>
      <c r="K1036" s="215"/>
      <c r="L1036" s="45" t="str">
        <f t="shared" si="1"/>
        <v/>
      </c>
      <c r="M1036" s="46" t="str">
        <f>IFERROR(__xludf.DUMMYFUNCTION("IF(Account!$F1036&lt;&gt;"""", VALUE(REGEXREPLACE($I1036, ""\,"", ""."")), """")"),"")</f>
        <v/>
      </c>
      <c r="N1036" s="47" t="str">
        <f>IF(Account!$F1036&lt;&gt;"", DATEVALUE(MID($A1036,4,3) &amp; LEFT($A1036,3) &amp; RIGHT($A1036,4)) + TIMEVALUE($B1036), "")</f>
        <v/>
      </c>
      <c r="O1036" s="48" t="str">
        <f>IF(Account!$F1036&lt;&gt;"", DATEVALUE(MID($A1036,4,3) &amp; LEFT($A1036,3) &amp; RIGHT($A1036,4)), "")</f>
        <v/>
      </c>
      <c r="P1036" s="49" t="str">
        <f>IFERROR(VLOOKUP($Q1036,Selection!$F:$G,2,false))</f>
        <v/>
      </c>
      <c r="Q1036" s="50" t="str">
        <f>IF(AND($X1036="change",$H1036="EUR"),IF(AND($Z1036="Crédit",$N1036=$N1037),$Q1037,IF(AND($Z1036="Débit",$N1036=$N1035),$Q1035)),IF(OR(AND(OR($E1036&lt;&gt;"",$L1036=""),$M1036&lt;&gt;0),$A1036=""),IFERROR(VLOOKUP($E1036,Selection!$E:$F,2,false)),IFERROR(VLOOKUP(SUBSTITUTE($I1036,"-","",1),$K1037:$Q1119,7,false),VLOOKUP($K1036,$K1037:$Q1119,7,false))))</f>
        <v/>
      </c>
      <c r="R1036" s="49" t="str">
        <f t="shared" si="2"/>
        <v/>
      </c>
      <c r="S1036" s="51" t="str">
        <f t="shared" si="3"/>
        <v/>
      </c>
      <c r="T1036" s="52" t="str">
        <f t="shared" si="4"/>
        <v/>
      </c>
      <c r="U1036" s="46" t="str">
        <f t="shared" si="5"/>
        <v/>
      </c>
      <c r="V1036" s="53" t="str">
        <f>IFERROR(__xludf.DUMMYFUNCTION(" IF(Account!$F1036&lt;&gt;"""", SPLIT(Account!$F1036, "" ""), """")"),"")</f>
        <v/>
      </c>
      <c r="W1036" s="54"/>
      <c r="X1036" s="54"/>
      <c r="Y1036" s="54"/>
      <c r="Z1036" s="54"/>
      <c r="AA1036" s="54"/>
      <c r="AB1036" s="54"/>
      <c r="AC1036" s="54"/>
      <c r="AD1036" s="54"/>
      <c r="AE1036" s="54"/>
      <c r="AF1036" s="54"/>
      <c r="AG1036" s="54"/>
      <c r="AH1036" s="54"/>
      <c r="AI1036" s="54"/>
      <c r="AJ1036" s="54"/>
    </row>
    <row r="1037">
      <c r="A1037" s="215"/>
      <c r="B1037" s="215"/>
      <c r="C1037" s="215"/>
      <c r="D1037" s="215"/>
      <c r="E1037" s="215"/>
      <c r="F1037" s="373"/>
      <c r="G1037" s="215"/>
      <c r="H1037" s="215"/>
      <c r="I1037" s="215"/>
      <c r="J1037" s="215"/>
      <c r="K1037" s="215"/>
      <c r="L1037" s="45" t="str">
        <f t="shared" si="1"/>
        <v/>
      </c>
      <c r="M1037" s="46" t="str">
        <f>IFERROR(__xludf.DUMMYFUNCTION("IF(Account!$F1037&lt;&gt;"""", VALUE(REGEXREPLACE($I1037, ""\,"", ""."")), """")"),"")</f>
        <v/>
      </c>
      <c r="N1037" s="47" t="str">
        <f>IF(Account!$F1037&lt;&gt;"", DATEVALUE(MID($A1037,4,3) &amp; LEFT($A1037,3) &amp; RIGHT($A1037,4)) + TIMEVALUE($B1037), "")</f>
        <v/>
      </c>
      <c r="O1037" s="48" t="str">
        <f>IF(Account!$F1037&lt;&gt;"", DATEVALUE(MID($A1037,4,3) &amp; LEFT($A1037,3) &amp; RIGHT($A1037,4)), "")</f>
        <v/>
      </c>
      <c r="P1037" s="49" t="str">
        <f>IFERROR(VLOOKUP($Q1037,Selection!$F:$G,2,false))</f>
        <v/>
      </c>
      <c r="Q1037" s="50" t="str">
        <f>IF(AND($X1037="change",$H1037="EUR"),IF(AND($Z1037="Crédit",$N1037=$N1038),$Q1038,IF(AND($Z1037="Débit",$N1037=$N1036),$Q1036)),IF(OR(AND(OR($E1037&lt;&gt;"",$L1037=""),$M1037&lt;&gt;0),$A1037=""),IFERROR(VLOOKUP($E1037,Selection!$E:$F,2,false)),IFERROR(VLOOKUP(SUBSTITUTE($I1037,"-","",1),$K1038:$Q1119,7,false),VLOOKUP($K1037,$K1038:$Q1119,7,false))))</f>
        <v/>
      </c>
      <c r="R1037" s="49" t="str">
        <f t="shared" si="2"/>
        <v/>
      </c>
      <c r="S1037" s="51" t="str">
        <f t="shared" si="3"/>
        <v/>
      </c>
      <c r="T1037" s="52" t="str">
        <f t="shared" si="4"/>
        <v/>
      </c>
      <c r="U1037" s="46" t="str">
        <f t="shared" si="5"/>
        <v/>
      </c>
      <c r="V1037" s="53" t="str">
        <f>IFERROR(__xludf.DUMMYFUNCTION(" IF(Account!$F1037&lt;&gt;"""", SPLIT(Account!$F1037, "" ""), """")"),"")</f>
        <v/>
      </c>
      <c r="W1037" s="54"/>
      <c r="X1037" s="54"/>
      <c r="Y1037" s="54"/>
      <c r="Z1037" s="54"/>
      <c r="AA1037" s="54"/>
      <c r="AB1037" s="54"/>
      <c r="AC1037" s="54"/>
      <c r="AD1037" s="54"/>
      <c r="AE1037" s="54"/>
      <c r="AF1037" s="54"/>
      <c r="AG1037" s="54"/>
      <c r="AH1037" s="54"/>
      <c r="AI1037" s="54"/>
      <c r="AJ1037" s="54"/>
    </row>
    <row r="1038">
      <c r="A1038" s="215"/>
      <c r="B1038" s="215"/>
      <c r="C1038" s="215"/>
      <c r="D1038" s="215"/>
      <c r="E1038" s="215"/>
      <c r="F1038" s="373"/>
      <c r="G1038" s="215"/>
      <c r="H1038" s="215"/>
      <c r="I1038" s="215"/>
      <c r="J1038" s="215"/>
      <c r="K1038" s="215"/>
      <c r="L1038" s="45" t="str">
        <f t="shared" si="1"/>
        <v/>
      </c>
      <c r="M1038" s="46" t="str">
        <f>IFERROR(__xludf.DUMMYFUNCTION("IF(Account!$F1038&lt;&gt;"""", VALUE(REGEXREPLACE($I1038, ""\,"", ""."")), """")"),"")</f>
        <v/>
      </c>
      <c r="N1038" s="47" t="str">
        <f>IF(Account!$F1038&lt;&gt;"", DATEVALUE(MID($A1038,4,3) &amp; LEFT($A1038,3) &amp; RIGHT($A1038,4)) + TIMEVALUE($B1038), "")</f>
        <v/>
      </c>
      <c r="O1038" s="48" t="str">
        <f>IF(Account!$F1038&lt;&gt;"", DATEVALUE(MID($A1038,4,3) &amp; LEFT($A1038,3) &amp; RIGHT($A1038,4)), "")</f>
        <v/>
      </c>
      <c r="P1038" s="49" t="str">
        <f>IFERROR(VLOOKUP($Q1038,Selection!$F:$G,2,false))</f>
        <v/>
      </c>
      <c r="Q1038" s="50" t="str">
        <f>IF(AND($X1038="change",$H1038="EUR"),IF(AND($Z1038="Crédit",$N1038=$N1039),$Q1039,IF(AND($Z1038="Débit",$N1038=$N1037),$Q1037)),IF(OR(AND(OR($E1038&lt;&gt;"",$L1038=""),$M1038&lt;&gt;0),$A1038=""),IFERROR(VLOOKUP($E1038,Selection!$E:$F,2,false)),IFERROR(VLOOKUP(SUBSTITUTE($I1038,"-","",1),$K1039:$Q1119,7,false),VLOOKUP($K1038,$K1039:$Q1119,7,false))))</f>
        <v/>
      </c>
      <c r="R1038" s="49" t="str">
        <f t="shared" si="2"/>
        <v/>
      </c>
      <c r="S1038" s="51" t="str">
        <f t="shared" si="3"/>
        <v/>
      </c>
      <c r="T1038" s="52" t="str">
        <f t="shared" si="4"/>
        <v/>
      </c>
      <c r="U1038" s="46" t="str">
        <f t="shared" si="5"/>
        <v/>
      </c>
      <c r="V1038" s="53" t="str">
        <f>IFERROR(__xludf.DUMMYFUNCTION(" IF(Account!$F1038&lt;&gt;"""", SPLIT(Account!$F1038, "" ""), """")"),"")</f>
        <v/>
      </c>
      <c r="W1038" s="54"/>
      <c r="X1038" s="54"/>
      <c r="Y1038" s="54"/>
      <c r="Z1038" s="54"/>
      <c r="AA1038" s="54"/>
      <c r="AB1038" s="54"/>
      <c r="AC1038" s="54"/>
      <c r="AD1038" s="54"/>
      <c r="AE1038" s="54"/>
      <c r="AF1038" s="54"/>
      <c r="AG1038" s="54"/>
      <c r="AH1038" s="54"/>
      <c r="AI1038" s="54"/>
      <c r="AJ1038" s="54"/>
    </row>
    <row r="1039">
      <c r="A1039" s="215"/>
      <c r="B1039" s="215"/>
      <c r="C1039" s="215"/>
      <c r="D1039" s="215"/>
      <c r="E1039" s="215"/>
      <c r="F1039" s="373"/>
      <c r="G1039" s="215"/>
      <c r="H1039" s="215"/>
      <c r="I1039" s="215"/>
      <c r="J1039" s="215"/>
      <c r="K1039" s="215"/>
      <c r="L1039" s="45" t="str">
        <f t="shared" si="1"/>
        <v/>
      </c>
      <c r="M1039" s="46" t="str">
        <f>IFERROR(__xludf.DUMMYFUNCTION("IF(Account!$F1039&lt;&gt;"""", VALUE(REGEXREPLACE($I1039, ""\,"", ""."")), """")"),"")</f>
        <v/>
      </c>
      <c r="N1039" s="47" t="str">
        <f>IF(Account!$F1039&lt;&gt;"", DATEVALUE(MID($A1039,4,3) &amp; LEFT($A1039,3) &amp; RIGHT($A1039,4)) + TIMEVALUE($B1039), "")</f>
        <v/>
      </c>
      <c r="O1039" s="48" t="str">
        <f>IF(Account!$F1039&lt;&gt;"", DATEVALUE(MID($A1039,4,3) &amp; LEFT($A1039,3) &amp; RIGHT($A1039,4)), "")</f>
        <v/>
      </c>
      <c r="P1039" s="49" t="str">
        <f>IFERROR(VLOOKUP($Q1039,Selection!$F:$G,2,false))</f>
        <v/>
      </c>
      <c r="Q1039" s="50" t="str">
        <f>IF(AND($X1039="change",$H1039="EUR"),IF(AND($Z1039="Crédit",$N1039=$N1040),$Q1040,IF(AND($Z1039="Débit",$N1039=$N1038),$Q1038)),IF(OR(AND(OR($E1039&lt;&gt;"",$L1039=""),$M1039&lt;&gt;0),$A1039=""),IFERROR(VLOOKUP($E1039,Selection!$E:$F,2,false)),IFERROR(VLOOKUP(SUBSTITUTE($I1039,"-","",1),$K1040:$Q1119,7,false),VLOOKUP($K1039,$K1040:$Q1119,7,false))))</f>
        <v/>
      </c>
      <c r="R1039" s="49" t="str">
        <f t="shared" si="2"/>
        <v/>
      </c>
      <c r="S1039" s="51" t="str">
        <f t="shared" si="3"/>
        <v/>
      </c>
      <c r="T1039" s="52" t="str">
        <f t="shared" si="4"/>
        <v/>
      </c>
      <c r="U1039" s="46" t="str">
        <f t="shared" si="5"/>
        <v/>
      </c>
      <c r="V1039" s="53" t="str">
        <f>IFERROR(__xludf.DUMMYFUNCTION(" IF(Account!$F1039&lt;&gt;"""", SPLIT(Account!$F1039, "" ""), """")"),"")</f>
        <v/>
      </c>
      <c r="W1039" s="54"/>
      <c r="X1039" s="54"/>
      <c r="Y1039" s="54"/>
      <c r="Z1039" s="54"/>
      <c r="AA1039" s="54"/>
      <c r="AB1039" s="54"/>
      <c r="AC1039" s="54"/>
      <c r="AD1039" s="54"/>
      <c r="AE1039" s="54"/>
      <c r="AF1039" s="54"/>
      <c r="AG1039" s="54"/>
      <c r="AH1039" s="54"/>
      <c r="AI1039" s="54"/>
      <c r="AJ1039" s="54"/>
    </row>
    <row r="1040">
      <c r="A1040" s="215"/>
      <c r="B1040" s="215"/>
      <c r="C1040" s="215"/>
      <c r="D1040" s="215"/>
      <c r="E1040" s="215"/>
      <c r="F1040" s="373"/>
      <c r="G1040" s="215"/>
      <c r="H1040" s="215"/>
      <c r="I1040" s="215"/>
      <c r="J1040" s="215"/>
      <c r="K1040" s="215"/>
      <c r="L1040" s="45" t="str">
        <f t="shared" si="1"/>
        <v/>
      </c>
      <c r="M1040" s="46" t="str">
        <f>IFERROR(__xludf.DUMMYFUNCTION("IF(Account!$F1040&lt;&gt;"""", VALUE(REGEXREPLACE($I1040, ""\,"", ""."")), """")"),"")</f>
        <v/>
      </c>
      <c r="N1040" s="47" t="str">
        <f>IF(Account!$F1040&lt;&gt;"", DATEVALUE(MID($A1040,4,3) &amp; LEFT($A1040,3) &amp; RIGHT($A1040,4)) + TIMEVALUE($B1040), "")</f>
        <v/>
      </c>
      <c r="O1040" s="48" t="str">
        <f>IF(Account!$F1040&lt;&gt;"", DATEVALUE(MID($A1040,4,3) &amp; LEFT($A1040,3) &amp; RIGHT($A1040,4)), "")</f>
        <v/>
      </c>
      <c r="P1040" s="49" t="str">
        <f>IFERROR(VLOOKUP($Q1040,Selection!$F:$G,2,false))</f>
        <v/>
      </c>
      <c r="Q1040" s="50" t="str">
        <f>IF(AND($X1040="change",$H1040="EUR"),IF(AND($Z1040="Crédit",$N1040=$N1041),$Q1041,IF(AND($Z1040="Débit",$N1040=$N1039),$Q1039)),IF(OR(AND(OR($E1040&lt;&gt;"",$L1040=""),$M1040&lt;&gt;0),$A1040=""),IFERROR(VLOOKUP($E1040,Selection!$E:$F,2,false)),IFERROR(VLOOKUP(SUBSTITUTE($I1040,"-","",1),$K1041:$Q1119,7,false),VLOOKUP($K1040,$K1041:$Q1119,7,false))))</f>
        <v/>
      </c>
      <c r="R1040" s="49" t="str">
        <f t="shared" si="2"/>
        <v/>
      </c>
      <c r="S1040" s="51" t="str">
        <f t="shared" si="3"/>
        <v/>
      </c>
      <c r="T1040" s="52" t="str">
        <f t="shared" si="4"/>
        <v/>
      </c>
      <c r="U1040" s="46" t="str">
        <f t="shared" si="5"/>
        <v/>
      </c>
      <c r="V1040" s="53" t="str">
        <f>IFERROR(__xludf.DUMMYFUNCTION(" IF(Account!$F1040&lt;&gt;"""", SPLIT(Account!$F1040, "" ""), """")"),"")</f>
        <v/>
      </c>
      <c r="W1040" s="54"/>
      <c r="X1040" s="54"/>
      <c r="Y1040" s="54"/>
      <c r="Z1040" s="54"/>
      <c r="AA1040" s="54"/>
      <c r="AB1040" s="54"/>
      <c r="AC1040" s="54"/>
      <c r="AD1040" s="54"/>
      <c r="AE1040" s="54"/>
      <c r="AF1040" s="54"/>
      <c r="AG1040" s="54"/>
      <c r="AH1040" s="54"/>
      <c r="AI1040" s="54"/>
      <c r="AJ1040" s="54"/>
    </row>
    <row r="1041">
      <c r="A1041" s="215"/>
      <c r="B1041" s="215"/>
      <c r="C1041" s="215"/>
      <c r="D1041" s="215"/>
      <c r="E1041" s="215"/>
      <c r="F1041" s="373"/>
      <c r="G1041" s="215"/>
      <c r="H1041" s="215"/>
      <c r="I1041" s="215"/>
      <c r="J1041" s="215"/>
      <c r="K1041" s="215"/>
      <c r="L1041" s="45" t="str">
        <f t="shared" si="1"/>
        <v/>
      </c>
      <c r="M1041" s="46" t="str">
        <f>IFERROR(__xludf.DUMMYFUNCTION("IF(Account!$F1041&lt;&gt;"""", VALUE(REGEXREPLACE($I1041, ""\,"", ""."")), """")"),"")</f>
        <v/>
      </c>
      <c r="N1041" s="47" t="str">
        <f>IF(Account!$F1041&lt;&gt;"", DATEVALUE(MID($A1041,4,3) &amp; LEFT($A1041,3) &amp; RIGHT($A1041,4)) + TIMEVALUE($B1041), "")</f>
        <v/>
      </c>
      <c r="O1041" s="48" t="str">
        <f>IF(Account!$F1041&lt;&gt;"", DATEVALUE(MID($A1041,4,3) &amp; LEFT($A1041,3) &amp; RIGHT($A1041,4)), "")</f>
        <v/>
      </c>
      <c r="P1041" s="49" t="str">
        <f>IFERROR(VLOOKUP($Q1041,Selection!$F:$G,2,false))</f>
        <v/>
      </c>
      <c r="Q1041" s="50" t="str">
        <f>IF(AND($X1041="change",$H1041="EUR"),IF(AND($Z1041="Crédit",$N1041=$N1042),$Q1042,IF(AND($Z1041="Débit",$N1041=$N1040),$Q1040)),IF(OR(AND(OR($E1041&lt;&gt;"",$L1041=""),$M1041&lt;&gt;0),$A1041=""),IFERROR(VLOOKUP($E1041,Selection!$E:$F,2,false)),IFERROR(VLOOKUP(SUBSTITUTE($I1041,"-","",1),$K1042:$Q1119,7,false),VLOOKUP($K1041,$K1042:$Q1119,7,false))))</f>
        <v/>
      </c>
      <c r="R1041" s="49" t="str">
        <f t="shared" si="2"/>
        <v/>
      </c>
      <c r="S1041" s="51" t="str">
        <f t="shared" si="3"/>
        <v/>
      </c>
      <c r="T1041" s="52" t="str">
        <f t="shared" si="4"/>
        <v/>
      </c>
      <c r="U1041" s="46" t="str">
        <f t="shared" si="5"/>
        <v/>
      </c>
      <c r="V1041" s="53" t="str">
        <f>IFERROR(__xludf.DUMMYFUNCTION(" IF(Account!$F1041&lt;&gt;"""", SPLIT(Account!$F1041, "" ""), """")"),"")</f>
        <v/>
      </c>
      <c r="W1041" s="54"/>
      <c r="X1041" s="54"/>
      <c r="Y1041" s="54"/>
      <c r="Z1041" s="54"/>
      <c r="AA1041" s="54"/>
      <c r="AB1041" s="54"/>
      <c r="AC1041" s="54"/>
      <c r="AD1041" s="54"/>
      <c r="AE1041" s="54"/>
      <c r="AF1041" s="54"/>
      <c r="AG1041" s="54"/>
      <c r="AH1041" s="54"/>
      <c r="AI1041" s="54"/>
      <c r="AJ1041" s="54"/>
    </row>
    <row r="1042">
      <c r="A1042" s="215"/>
      <c r="B1042" s="215"/>
      <c r="C1042" s="215"/>
      <c r="D1042" s="215"/>
      <c r="E1042" s="215"/>
      <c r="F1042" s="373"/>
      <c r="G1042" s="215"/>
      <c r="H1042" s="215"/>
      <c r="I1042" s="215"/>
      <c r="J1042" s="215"/>
      <c r="K1042" s="215"/>
      <c r="L1042" s="45" t="str">
        <f t="shared" si="1"/>
        <v/>
      </c>
      <c r="M1042" s="46" t="str">
        <f>IFERROR(__xludf.DUMMYFUNCTION("IF(Account!$F1042&lt;&gt;"""", VALUE(REGEXREPLACE($I1042, ""\,"", ""."")), """")"),"")</f>
        <v/>
      </c>
      <c r="N1042" s="47" t="str">
        <f>IF(Account!$F1042&lt;&gt;"", DATEVALUE(MID($A1042,4,3) &amp; LEFT($A1042,3) &amp; RIGHT($A1042,4)) + TIMEVALUE($B1042), "")</f>
        <v/>
      </c>
      <c r="O1042" s="48" t="str">
        <f>IF(Account!$F1042&lt;&gt;"", DATEVALUE(MID($A1042,4,3) &amp; LEFT($A1042,3) &amp; RIGHT($A1042,4)), "")</f>
        <v/>
      </c>
      <c r="P1042" s="49" t="str">
        <f>IFERROR(VLOOKUP($Q1042,Selection!$F:$G,2,false))</f>
        <v/>
      </c>
      <c r="Q1042" s="50" t="str">
        <f>IF(AND($X1042="change",$H1042="EUR"),IF(AND($Z1042="Crédit",$N1042=$N1043),$Q1043,IF(AND($Z1042="Débit",$N1042=$N1041),$Q1041)),IF(OR(AND(OR($E1042&lt;&gt;"",$L1042=""),$M1042&lt;&gt;0),$A1042=""),IFERROR(VLOOKUP($E1042,Selection!$E:$F,2,false)),IFERROR(VLOOKUP(SUBSTITUTE($I1042,"-","",1),$K1043:$Q1119,7,false),VLOOKUP($K1042,$K1043:$Q1119,7,false))))</f>
        <v/>
      </c>
      <c r="R1042" s="49" t="str">
        <f t="shared" si="2"/>
        <v/>
      </c>
      <c r="S1042" s="51" t="str">
        <f t="shared" si="3"/>
        <v/>
      </c>
      <c r="T1042" s="52" t="str">
        <f t="shared" si="4"/>
        <v/>
      </c>
      <c r="U1042" s="46" t="str">
        <f t="shared" si="5"/>
        <v/>
      </c>
      <c r="V1042" s="53" t="str">
        <f>IFERROR(__xludf.DUMMYFUNCTION(" IF(Account!$F1042&lt;&gt;"""", SPLIT(Account!$F1042, "" ""), """")"),"")</f>
        <v/>
      </c>
      <c r="W1042" s="54"/>
      <c r="X1042" s="54"/>
      <c r="Y1042" s="54"/>
      <c r="Z1042" s="54"/>
      <c r="AA1042" s="54"/>
      <c r="AB1042" s="54"/>
      <c r="AC1042" s="54"/>
      <c r="AD1042" s="54"/>
      <c r="AE1042" s="54"/>
      <c r="AF1042" s="54"/>
      <c r="AG1042" s="54"/>
      <c r="AH1042" s="54"/>
      <c r="AI1042" s="54"/>
      <c r="AJ1042" s="54"/>
    </row>
    <row r="1043">
      <c r="A1043" s="215"/>
      <c r="B1043" s="215"/>
      <c r="C1043" s="215"/>
      <c r="D1043" s="215"/>
      <c r="E1043" s="215"/>
      <c r="F1043" s="373"/>
      <c r="G1043" s="215"/>
      <c r="H1043" s="215"/>
      <c r="I1043" s="215"/>
      <c r="J1043" s="215"/>
      <c r="K1043" s="215"/>
      <c r="L1043" s="45" t="str">
        <f t="shared" si="1"/>
        <v/>
      </c>
      <c r="M1043" s="46" t="str">
        <f>IFERROR(__xludf.DUMMYFUNCTION("IF(Account!$F1043&lt;&gt;"""", VALUE(REGEXREPLACE($I1043, ""\,"", ""."")), """")"),"")</f>
        <v/>
      </c>
      <c r="N1043" s="47" t="str">
        <f>IF(Account!$F1043&lt;&gt;"", DATEVALUE(MID($A1043,4,3) &amp; LEFT($A1043,3) &amp; RIGHT($A1043,4)) + TIMEVALUE($B1043), "")</f>
        <v/>
      </c>
      <c r="O1043" s="48" t="str">
        <f>IF(Account!$F1043&lt;&gt;"", DATEVALUE(MID($A1043,4,3) &amp; LEFT($A1043,3) &amp; RIGHT($A1043,4)), "")</f>
        <v/>
      </c>
      <c r="P1043" s="49" t="str">
        <f>IFERROR(VLOOKUP($Q1043,Selection!$F:$G,2,false))</f>
        <v/>
      </c>
      <c r="Q1043" s="50" t="str">
        <f>IF(AND($X1043="change",$H1043="EUR"),IF(AND($Z1043="Crédit",$N1043=$N1044),$Q1044,IF(AND($Z1043="Débit",$N1043=$N1042),$Q1042)),IF(OR(AND(OR($E1043&lt;&gt;"",$L1043=""),$M1043&lt;&gt;0),$A1043=""),IFERROR(VLOOKUP($E1043,Selection!$E:$F,2,false)),IFERROR(VLOOKUP(SUBSTITUTE($I1043,"-","",1),$K1044:$Q1119,7,false),VLOOKUP($K1043,$K1044:$Q1119,7,false))))</f>
        <v/>
      </c>
      <c r="R1043" s="49" t="str">
        <f t="shared" si="2"/>
        <v/>
      </c>
      <c r="S1043" s="51" t="str">
        <f t="shared" si="3"/>
        <v/>
      </c>
      <c r="T1043" s="52" t="str">
        <f t="shared" si="4"/>
        <v/>
      </c>
      <c r="U1043" s="46" t="str">
        <f t="shared" si="5"/>
        <v/>
      </c>
      <c r="V1043" s="53" t="str">
        <f>IFERROR(__xludf.DUMMYFUNCTION(" IF(Account!$F1043&lt;&gt;"""", SPLIT(Account!$F1043, "" ""), """")"),"")</f>
        <v/>
      </c>
      <c r="W1043" s="54"/>
      <c r="X1043" s="54"/>
      <c r="Y1043" s="54"/>
      <c r="Z1043" s="54"/>
      <c r="AA1043" s="54"/>
      <c r="AB1043" s="54"/>
      <c r="AC1043" s="54"/>
      <c r="AD1043" s="54"/>
      <c r="AE1043" s="54"/>
      <c r="AF1043" s="54"/>
      <c r="AG1043" s="54"/>
      <c r="AH1043" s="54"/>
      <c r="AI1043" s="54"/>
      <c r="AJ1043" s="54"/>
    </row>
    <row r="1044">
      <c r="A1044" s="215"/>
      <c r="B1044" s="215"/>
      <c r="C1044" s="215"/>
      <c r="D1044" s="215"/>
      <c r="E1044" s="215"/>
      <c r="F1044" s="373"/>
      <c r="G1044" s="215"/>
      <c r="H1044" s="215"/>
      <c r="I1044" s="215"/>
      <c r="J1044" s="215"/>
      <c r="K1044" s="215"/>
      <c r="L1044" s="45" t="str">
        <f t="shared" si="1"/>
        <v/>
      </c>
      <c r="M1044" s="46" t="str">
        <f>IFERROR(__xludf.DUMMYFUNCTION("IF(Account!$F1044&lt;&gt;"""", VALUE(REGEXREPLACE($I1044, ""\,"", ""."")), """")"),"")</f>
        <v/>
      </c>
      <c r="N1044" s="47" t="str">
        <f>IF(Account!$F1044&lt;&gt;"", DATEVALUE(MID($A1044,4,3) &amp; LEFT($A1044,3) &amp; RIGHT($A1044,4)) + TIMEVALUE($B1044), "")</f>
        <v/>
      </c>
      <c r="O1044" s="48" t="str">
        <f>IF(Account!$F1044&lt;&gt;"", DATEVALUE(MID($A1044,4,3) &amp; LEFT($A1044,3) &amp; RIGHT($A1044,4)), "")</f>
        <v/>
      </c>
      <c r="P1044" s="49" t="str">
        <f>IFERROR(VLOOKUP($Q1044,Selection!$F:$G,2,false))</f>
        <v/>
      </c>
      <c r="Q1044" s="50" t="str">
        <f>IF(AND($X1044="change",$H1044="EUR"),IF(AND($Z1044="Crédit",$N1044=$N1045),$Q1045,IF(AND($Z1044="Débit",$N1044=$N1043),$Q1043)),IF(OR(AND(OR($E1044&lt;&gt;"",$L1044=""),$M1044&lt;&gt;0),$A1044=""),IFERROR(VLOOKUP($E1044,Selection!$E:$F,2,false)),IFERROR(VLOOKUP(SUBSTITUTE($I1044,"-","",1),$K1045:$Q1119,7,false),VLOOKUP($K1044,$K1045:$Q1119,7,false))))</f>
        <v/>
      </c>
      <c r="R1044" s="49" t="str">
        <f t="shared" si="2"/>
        <v/>
      </c>
      <c r="S1044" s="51" t="str">
        <f t="shared" si="3"/>
        <v/>
      </c>
      <c r="T1044" s="52" t="str">
        <f t="shared" si="4"/>
        <v/>
      </c>
      <c r="U1044" s="46" t="str">
        <f t="shared" si="5"/>
        <v/>
      </c>
      <c r="V1044" s="53" t="str">
        <f>IFERROR(__xludf.DUMMYFUNCTION(" IF(Account!$F1044&lt;&gt;"""", SPLIT(Account!$F1044, "" ""), """")"),"")</f>
        <v/>
      </c>
      <c r="W1044" s="54"/>
      <c r="X1044" s="54"/>
      <c r="Y1044" s="54"/>
      <c r="Z1044" s="54"/>
      <c r="AA1044" s="54"/>
      <c r="AB1044" s="54"/>
      <c r="AC1044" s="54"/>
      <c r="AD1044" s="54"/>
      <c r="AE1044" s="54"/>
      <c r="AF1044" s="54"/>
      <c r="AG1044" s="54"/>
      <c r="AH1044" s="54"/>
      <c r="AI1044" s="54"/>
      <c r="AJ1044" s="54"/>
    </row>
    <row r="1045">
      <c r="A1045" s="215"/>
      <c r="B1045" s="215"/>
      <c r="C1045" s="215"/>
      <c r="D1045" s="215"/>
      <c r="E1045" s="215"/>
      <c r="F1045" s="373"/>
      <c r="G1045" s="215"/>
      <c r="H1045" s="215"/>
      <c r="I1045" s="215"/>
      <c r="J1045" s="215"/>
      <c r="K1045" s="215"/>
      <c r="L1045" s="45" t="str">
        <f t="shared" si="1"/>
        <v/>
      </c>
      <c r="M1045" s="46" t="str">
        <f>IFERROR(__xludf.DUMMYFUNCTION("IF(Account!$F1045&lt;&gt;"""", VALUE(REGEXREPLACE($I1045, ""\,"", ""."")), """")"),"")</f>
        <v/>
      </c>
      <c r="N1045" s="47" t="str">
        <f>IF(Account!$F1045&lt;&gt;"", DATEVALUE(MID($A1045,4,3) &amp; LEFT($A1045,3) &amp; RIGHT($A1045,4)) + TIMEVALUE($B1045), "")</f>
        <v/>
      </c>
      <c r="O1045" s="48" t="str">
        <f>IF(Account!$F1045&lt;&gt;"", DATEVALUE(MID($A1045,4,3) &amp; LEFT($A1045,3) &amp; RIGHT($A1045,4)), "")</f>
        <v/>
      </c>
      <c r="P1045" s="49" t="str">
        <f>IFERROR(VLOOKUP($Q1045,Selection!$F:$G,2,false))</f>
        <v/>
      </c>
      <c r="Q1045" s="50" t="str">
        <f>IF(AND($X1045="change",$H1045="EUR"),IF(AND($Z1045="Crédit",$N1045=$N1046),$Q1046,IF(AND($Z1045="Débit",$N1045=$N1044),$Q1044)),IF(OR(AND(OR($E1045&lt;&gt;"",$L1045=""),$M1045&lt;&gt;0),$A1045=""),IFERROR(VLOOKUP($E1045,Selection!$E:$F,2,false)),IFERROR(VLOOKUP(SUBSTITUTE($I1045,"-","",1),$K1046:$Q1119,7,false),VLOOKUP($K1045,$K1046:$Q1119,7,false))))</f>
        <v/>
      </c>
      <c r="R1045" s="49" t="str">
        <f t="shared" si="2"/>
        <v/>
      </c>
      <c r="S1045" s="51" t="str">
        <f t="shared" si="3"/>
        <v/>
      </c>
      <c r="T1045" s="52" t="str">
        <f t="shared" si="4"/>
        <v/>
      </c>
      <c r="U1045" s="46" t="str">
        <f t="shared" si="5"/>
        <v/>
      </c>
      <c r="V1045" s="53" t="str">
        <f>IFERROR(__xludf.DUMMYFUNCTION(" IF(Account!$F1045&lt;&gt;"""", SPLIT(Account!$F1045, "" ""), """")"),"")</f>
        <v/>
      </c>
      <c r="W1045" s="54"/>
      <c r="X1045" s="54"/>
      <c r="Y1045" s="54"/>
      <c r="Z1045" s="54"/>
      <c r="AA1045" s="54"/>
      <c r="AB1045" s="54"/>
      <c r="AC1045" s="54"/>
      <c r="AD1045" s="54"/>
      <c r="AE1045" s="54"/>
      <c r="AF1045" s="54"/>
      <c r="AG1045" s="54"/>
      <c r="AH1045" s="54"/>
      <c r="AI1045" s="54"/>
      <c r="AJ1045" s="54"/>
    </row>
    <row r="1046">
      <c r="A1046" s="215"/>
      <c r="B1046" s="215"/>
      <c r="C1046" s="215"/>
      <c r="D1046" s="215"/>
      <c r="E1046" s="215"/>
      <c r="F1046" s="373"/>
      <c r="G1046" s="215"/>
      <c r="H1046" s="215"/>
      <c r="I1046" s="215"/>
      <c r="J1046" s="215"/>
      <c r="K1046" s="215"/>
      <c r="L1046" s="45" t="str">
        <f t="shared" si="1"/>
        <v/>
      </c>
      <c r="M1046" s="46" t="str">
        <f>IFERROR(__xludf.DUMMYFUNCTION("IF(Account!$F1046&lt;&gt;"""", VALUE(REGEXREPLACE($I1046, ""\,"", ""."")), """")"),"")</f>
        <v/>
      </c>
      <c r="N1046" s="47" t="str">
        <f>IF(Account!$F1046&lt;&gt;"", DATEVALUE(MID($A1046,4,3) &amp; LEFT($A1046,3) &amp; RIGHT($A1046,4)) + TIMEVALUE($B1046), "")</f>
        <v/>
      </c>
      <c r="O1046" s="48" t="str">
        <f>IF(Account!$F1046&lt;&gt;"", DATEVALUE(MID($A1046,4,3) &amp; LEFT($A1046,3) &amp; RIGHT($A1046,4)), "")</f>
        <v/>
      </c>
      <c r="P1046" s="49" t="str">
        <f>IFERROR(VLOOKUP($Q1046,Selection!$F:$G,2,false))</f>
        <v/>
      </c>
      <c r="Q1046" s="50" t="str">
        <f>IF(AND($X1046="change",$H1046="EUR"),IF(AND($Z1046="Crédit",$N1046=$N1047),$Q1047,IF(AND($Z1046="Débit",$N1046=$N1045),$Q1045)),IF(OR(AND(OR($E1046&lt;&gt;"",$L1046=""),$M1046&lt;&gt;0),$A1046=""),IFERROR(VLOOKUP($E1046,Selection!$E:$F,2,false)),IFERROR(VLOOKUP(SUBSTITUTE($I1046,"-","",1),$K1047:$Q1119,7,false),VLOOKUP($K1046,$K1047:$Q1119,7,false))))</f>
        <v/>
      </c>
      <c r="R1046" s="49" t="str">
        <f t="shared" si="2"/>
        <v/>
      </c>
      <c r="S1046" s="51" t="str">
        <f t="shared" si="3"/>
        <v/>
      </c>
      <c r="T1046" s="52" t="str">
        <f t="shared" si="4"/>
        <v/>
      </c>
      <c r="U1046" s="46" t="str">
        <f t="shared" si="5"/>
        <v/>
      </c>
      <c r="V1046" s="53" t="str">
        <f>IFERROR(__xludf.DUMMYFUNCTION(" IF(Account!$F1046&lt;&gt;"""", SPLIT(Account!$F1046, "" ""), """")"),"")</f>
        <v/>
      </c>
      <c r="W1046" s="54"/>
      <c r="X1046" s="54"/>
      <c r="Y1046" s="54"/>
      <c r="Z1046" s="54"/>
      <c r="AA1046" s="54"/>
      <c r="AB1046" s="54"/>
      <c r="AC1046" s="54"/>
      <c r="AD1046" s="54"/>
      <c r="AE1046" s="54"/>
      <c r="AF1046" s="54"/>
      <c r="AG1046" s="54"/>
      <c r="AH1046" s="54"/>
      <c r="AI1046" s="54"/>
      <c r="AJ1046" s="54"/>
    </row>
    <row r="1047">
      <c r="A1047" s="215"/>
      <c r="B1047" s="215"/>
      <c r="C1047" s="215"/>
      <c r="D1047" s="215"/>
      <c r="E1047" s="215"/>
      <c r="F1047" s="373"/>
      <c r="G1047" s="215"/>
      <c r="H1047" s="215"/>
      <c r="I1047" s="215"/>
      <c r="J1047" s="215"/>
      <c r="K1047" s="215"/>
      <c r="L1047" s="45" t="str">
        <f t="shared" si="1"/>
        <v/>
      </c>
      <c r="M1047" s="46" t="str">
        <f>IFERROR(__xludf.DUMMYFUNCTION("IF(Account!$F1047&lt;&gt;"""", VALUE(REGEXREPLACE($I1047, ""\,"", ""."")), """")"),"")</f>
        <v/>
      </c>
      <c r="N1047" s="47" t="str">
        <f>IF(Account!$F1047&lt;&gt;"", DATEVALUE(MID($A1047,4,3) &amp; LEFT($A1047,3) &amp; RIGHT($A1047,4)) + TIMEVALUE($B1047), "")</f>
        <v/>
      </c>
      <c r="O1047" s="48" t="str">
        <f>IF(Account!$F1047&lt;&gt;"", DATEVALUE(MID($A1047,4,3) &amp; LEFT($A1047,3) &amp; RIGHT($A1047,4)), "")</f>
        <v/>
      </c>
      <c r="P1047" s="49" t="str">
        <f>IFERROR(VLOOKUP($Q1047,Selection!$F:$G,2,false))</f>
        <v/>
      </c>
      <c r="Q1047" s="50" t="str">
        <f>IF(AND($X1047="change",$H1047="EUR"),IF(AND($Z1047="Crédit",$N1047=$N1048),$Q1048,IF(AND($Z1047="Débit",$N1047=$N1046),$Q1046)),IF(OR(AND(OR($E1047&lt;&gt;"",$L1047=""),$M1047&lt;&gt;0),$A1047=""),IFERROR(VLOOKUP($E1047,Selection!$E:$F,2,false)),IFERROR(VLOOKUP(SUBSTITUTE($I1047,"-","",1),$K1048:$Q1119,7,false),VLOOKUP($K1047,$K1048:$Q1119,7,false))))</f>
        <v/>
      </c>
      <c r="R1047" s="49" t="str">
        <f t="shared" si="2"/>
        <v/>
      </c>
      <c r="S1047" s="51" t="str">
        <f t="shared" si="3"/>
        <v/>
      </c>
      <c r="T1047" s="52" t="str">
        <f t="shared" si="4"/>
        <v/>
      </c>
      <c r="U1047" s="46" t="str">
        <f t="shared" si="5"/>
        <v/>
      </c>
      <c r="V1047" s="53" t="str">
        <f>IFERROR(__xludf.DUMMYFUNCTION(" IF(Account!$F1047&lt;&gt;"""", SPLIT(Account!$F1047, "" ""), """")"),"")</f>
        <v/>
      </c>
      <c r="W1047" s="54"/>
      <c r="X1047" s="54"/>
      <c r="Y1047" s="54"/>
      <c r="Z1047" s="54"/>
      <c r="AA1047" s="54"/>
      <c r="AB1047" s="54"/>
      <c r="AC1047" s="54"/>
      <c r="AD1047" s="54"/>
      <c r="AE1047" s="54"/>
      <c r="AF1047" s="54"/>
      <c r="AG1047" s="54"/>
      <c r="AH1047" s="54"/>
      <c r="AI1047" s="54"/>
      <c r="AJ1047" s="54"/>
    </row>
    <row r="1048">
      <c r="A1048" s="215"/>
      <c r="B1048" s="215"/>
      <c r="C1048" s="215"/>
      <c r="D1048" s="215"/>
      <c r="E1048" s="215"/>
      <c r="F1048" s="373"/>
      <c r="G1048" s="215"/>
      <c r="H1048" s="215"/>
      <c r="I1048" s="215"/>
      <c r="J1048" s="215"/>
      <c r="K1048" s="215"/>
      <c r="L1048" s="45" t="str">
        <f t="shared" si="1"/>
        <v/>
      </c>
      <c r="M1048" s="46" t="str">
        <f>IFERROR(__xludf.DUMMYFUNCTION("IF(Account!$F1048&lt;&gt;"""", VALUE(REGEXREPLACE($I1048, ""\,"", ""."")), """")"),"")</f>
        <v/>
      </c>
      <c r="N1048" s="47" t="str">
        <f>IF(Account!$F1048&lt;&gt;"", DATEVALUE(MID($A1048,4,3) &amp; LEFT($A1048,3) &amp; RIGHT($A1048,4)) + TIMEVALUE($B1048), "")</f>
        <v/>
      </c>
      <c r="O1048" s="48" t="str">
        <f>IF(Account!$F1048&lt;&gt;"", DATEVALUE(MID($A1048,4,3) &amp; LEFT($A1048,3) &amp; RIGHT($A1048,4)), "")</f>
        <v/>
      </c>
      <c r="P1048" s="49" t="str">
        <f>IFERROR(VLOOKUP($Q1048,Selection!$F:$G,2,false))</f>
        <v/>
      </c>
      <c r="Q1048" s="50" t="str">
        <f>IF(AND($X1048="change",$H1048="EUR"),IF(AND($Z1048="Crédit",$N1048=$N1049),$Q1049,IF(AND($Z1048="Débit",$N1048=$N1047),$Q1047)),IF(OR(AND(OR($E1048&lt;&gt;"",$L1048=""),$M1048&lt;&gt;0),$A1048=""),IFERROR(VLOOKUP($E1048,Selection!$E:$F,2,false)),IFERROR(VLOOKUP(SUBSTITUTE($I1048,"-","",1),$K1049:$Q1119,7,false),VLOOKUP($K1048,$K1049:$Q1119,7,false))))</f>
        <v/>
      </c>
      <c r="R1048" s="49" t="str">
        <f t="shared" si="2"/>
        <v/>
      </c>
      <c r="S1048" s="51" t="str">
        <f t="shared" si="3"/>
        <v/>
      </c>
      <c r="T1048" s="52" t="str">
        <f t="shared" si="4"/>
        <v/>
      </c>
      <c r="U1048" s="46" t="str">
        <f t="shared" si="5"/>
        <v/>
      </c>
      <c r="V1048" s="53" t="str">
        <f>IFERROR(__xludf.DUMMYFUNCTION(" IF(Account!$F1048&lt;&gt;"""", SPLIT(Account!$F1048, "" ""), """")"),"")</f>
        <v/>
      </c>
      <c r="W1048" s="54"/>
      <c r="X1048" s="54"/>
      <c r="Y1048" s="54"/>
      <c r="Z1048" s="54"/>
      <c r="AA1048" s="54"/>
      <c r="AB1048" s="54"/>
      <c r="AC1048" s="54"/>
      <c r="AD1048" s="54"/>
      <c r="AE1048" s="54"/>
      <c r="AF1048" s="54"/>
      <c r="AG1048" s="54"/>
      <c r="AH1048" s="54"/>
      <c r="AI1048" s="54"/>
      <c r="AJ1048" s="54"/>
    </row>
    <row r="1049">
      <c r="A1049" s="215"/>
      <c r="B1049" s="215"/>
      <c r="C1049" s="215"/>
      <c r="D1049" s="215"/>
      <c r="E1049" s="215"/>
      <c r="F1049" s="373"/>
      <c r="G1049" s="215"/>
      <c r="H1049" s="215"/>
      <c r="I1049" s="215"/>
      <c r="J1049" s="215"/>
      <c r="K1049" s="215"/>
      <c r="L1049" s="45" t="str">
        <f t="shared" si="1"/>
        <v/>
      </c>
      <c r="M1049" s="46" t="str">
        <f>IFERROR(__xludf.DUMMYFUNCTION("IF(Account!$F1049&lt;&gt;"""", VALUE(REGEXREPLACE($I1049, ""\,"", ""."")), """")"),"")</f>
        <v/>
      </c>
      <c r="N1049" s="47" t="str">
        <f>IF(Account!$F1049&lt;&gt;"", DATEVALUE(MID($A1049,4,3) &amp; LEFT($A1049,3) &amp; RIGHT($A1049,4)) + TIMEVALUE($B1049), "")</f>
        <v/>
      </c>
      <c r="O1049" s="48" t="str">
        <f>IF(Account!$F1049&lt;&gt;"", DATEVALUE(MID($A1049,4,3) &amp; LEFT($A1049,3) &amp; RIGHT($A1049,4)), "")</f>
        <v/>
      </c>
      <c r="P1049" s="49" t="str">
        <f>IFERROR(VLOOKUP($Q1049,Selection!$F:$G,2,false))</f>
        <v/>
      </c>
      <c r="Q1049" s="50" t="str">
        <f>IF(AND($X1049="change",$H1049="EUR"),IF(AND($Z1049="Crédit",$N1049=$N1050),$Q1050,IF(AND($Z1049="Débit",$N1049=$N1048),$Q1048)),IF(OR(AND(OR($E1049&lt;&gt;"",$L1049=""),$M1049&lt;&gt;0),$A1049=""),IFERROR(VLOOKUP($E1049,Selection!$E:$F,2,false)),IFERROR(VLOOKUP(SUBSTITUTE($I1049,"-","",1),$K1050:$Q1119,7,false),VLOOKUP($K1049,$K1050:$Q1119,7,false))))</f>
        <v/>
      </c>
      <c r="R1049" s="49" t="str">
        <f t="shared" si="2"/>
        <v/>
      </c>
      <c r="S1049" s="51" t="str">
        <f t="shared" si="3"/>
        <v/>
      </c>
      <c r="T1049" s="52" t="str">
        <f t="shared" si="4"/>
        <v/>
      </c>
      <c r="U1049" s="46" t="str">
        <f t="shared" si="5"/>
        <v/>
      </c>
      <c r="V1049" s="53" t="str">
        <f>IFERROR(__xludf.DUMMYFUNCTION(" IF(Account!$F1049&lt;&gt;"""", SPLIT(Account!$F1049, "" ""), """")"),"")</f>
        <v/>
      </c>
      <c r="W1049" s="54"/>
      <c r="X1049" s="54"/>
      <c r="Y1049" s="54"/>
      <c r="Z1049" s="54"/>
      <c r="AA1049" s="54"/>
      <c r="AB1049" s="54"/>
      <c r="AC1049" s="54"/>
      <c r="AD1049" s="54"/>
      <c r="AE1049" s="54"/>
      <c r="AF1049" s="54"/>
      <c r="AG1049" s="54"/>
      <c r="AH1049" s="54"/>
      <c r="AI1049" s="54"/>
      <c r="AJ1049" s="54"/>
    </row>
    <row r="1050">
      <c r="A1050" s="215"/>
      <c r="B1050" s="215"/>
      <c r="C1050" s="215"/>
      <c r="D1050" s="215"/>
      <c r="E1050" s="215"/>
      <c r="F1050" s="373"/>
      <c r="G1050" s="215"/>
      <c r="H1050" s="215"/>
      <c r="I1050" s="215"/>
      <c r="J1050" s="215"/>
      <c r="K1050" s="215"/>
      <c r="L1050" s="45" t="str">
        <f t="shared" si="1"/>
        <v/>
      </c>
      <c r="M1050" s="46" t="str">
        <f>IFERROR(__xludf.DUMMYFUNCTION("IF(Account!$F1050&lt;&gt;"""", VALUE(REGEXREPLACE($I1050, ""\,"", ""."")), """")"),"")</f>
        <v/>
      </c>
      <c r="N1050" s="47" t="str">
        <f>IF(Account!$F1050&lt;&gt;"", DATEVALUE(MID($A1050,4,3) &amp; LEFT($A1050,3) &amp; RIGHT($A1050,4)) + TIMEVALUE($B1050), "")</f>
        <v/>
      </c>
      <c r="O1050" s="48" t="str">
        <f>IF(Account!$F1050&lt;&gt;"", DATEVALUE(MID($A1050,4,3) &amp; LEFT($A1050,3) &amp; RIGHT($A1050,4)), "")</f>
        <v/>
      </c>
      <c r="P1050" s="49" t="str">
        <f>IFERROR(VLOOKUP($Q1050,Selection!$F:$G,2,false))</f>
        <v/>
      </c>
      <c r="Q1050" s="50" t="str">
        <f>IF(AND($X1050="change",$H1050="EUR"),IF(AND($Z1050="Crédit",$N1050=$N1051),$Q1051,IF(AND($Z1050="Débit",$N1050=$N1049),$Q1049)),IF(OR(AND(OR($E1050&lt;&gt;"",$L1050=""),$M1050&lt;&gt;0),$A1050=""),IFERROR(VLOOKUP($E1050,Selection!$E:$F,2,false)),IFERROR(VLOOKUP(SUBSTITUTE($I1050,"-","",1),$K1051:$Q1119,7,false),VLOOKUP($K1050,$K1051:$Q1119,7,false))))</f>
        <v/>
      </c>
      <c r="R1050" s="49" t="str">
        <f t="shared" si="2"/>
        <v/>
      </c>
      <c r="S1050" s="51" t="str">
        <f t="shared" si="3"/>
        <v/>
      </c>
      <c r="T1050" s="52" t="str">
        <f t="shared" si="4"/>
        <v/>
      </c>
      <c r="U1050" s="46" t="str">
        <f t="shared" si="5"/>
        <v/>
      </c>
      <c r="V1050" s="53" t="str">
        <f>IFERROR(__xludf.DUMMYFUNCTION(" IF(Account!$F1050&lt;&gt;"""", SPLIT(Account!$F1050, "" ""), """")"),"")</f>
        <v/>
      </c>
      <c r="W1050" s="54"/>
      <c r="X1050" s="54"/>
      <c r="Y1050" s="54"/>
      <c r="Z1050" s="54"/>
      <c r="AA1050" s="54"/>
      <c r="AB1050" s="54"/>
      <c r="AC1050" s="54"/>
      <c r="AD1050" s="54"/>
      <c r="AE1050" s="54"/>
      <c r="AF1050" s="54"/>
      <c r="AG1050" s="54"/>
      <c r="AH1050" s="54"/>
      <c r="AI1050" s="54"/>
      <c r="AJ1050" s="54"/>
    </row>
    <row r="1051">
      <c r="A1051" s="215"/>
      <c r="B1051" s="215"/>
      <c r="C1051" s="215"/>
      <c r="D1051" s="215"/>
      <c r="E1051" s="215"/>
      <c r="F1051" s="373"/>
      <c r="G1051" s="215"/>
      <c r="H1051" s="215"/>
      <c r="I1051" s="215"/>
      <c r="J1051" s="215"/>
      <c r="K1051" s="215"/>
      <c r="L1051" s="45" t="str">
        <f t="shared" si="1"/>
        <v/>
      </c>
      <c r="M1051" s="46" t="str">
        <f>IFERROR(__xludf.DUMMYFUNCTION("IF(Account!$F1051&lt;&gt;"""", VALUE(REGEXREPLACE($I1051, ""\,"", ""."")), """")"),"")</f>
        <v/>
      </c>
      <c r="N1051" s="47" t="str">
        <f>IF(Account!$F1051&lt;&gt;"", DATEVALUE(MID($A1051,4,3) &amp; LEFT($A1051,3) &amp; RIGHT($A1051,4)) + TIMEVALUE($B1051), "")</f>
        <v/>
      </c>
      <c r="O1051" s="48" t="str">
        <f>IF(Account!$F1051&lt;&gt;"", DATEVALUE(MID($A1051,4,3) &amp; LEFT($A1051,3) &amp; RIGHT($A1051,4)), "")</f>
        <v/>
      </c>
      <c r="P1051" s="49" t="str">
        <f>IFERROR(VLOOKUP($Q1051,Selection!$F:$G,2,false))</f>
        <v/>
      </c>
      <c r="Q1051" s="50" t="str">
        <f>IF(AND($X1051="change",$H1051="EUR"),IF(AND($Z1051="Crédit",$N1051=$N1052),$Q1052,IF(AND($Z1051="Débit",$N1051=$N1050),$Q1050)),IF(OR(AND(OR($E1051&lt;&gt;"",$L1051=""),$M1051&lt;&gt;0),$A1051=""),IFERROR(VLOOKUP($E1051,Selection!$E:$F,2,false)),IFERROR(VLOOKUP(SUBSTITUTE($I1051,"-","",1),$K1052:$Q1119,7,false),VLOOKUP($K1051,$K1052:$Q1119,7,false))))</f>
        <v/>
      </c>
      <c r="R1051" s="49" t="str">
        <f t="shared" si="2"/>
        <v/>
      </c>
      <c r="S1051" s="51" t="str">
        <f t="shared" si="3"/>
        <v/>
      </c>
      <c r="T1051" s="52" t="str">
        <f t="shared" si="4"/>
        <v/>
      </c>
      <c r="U1051" s="46" t="str">
        <f t="shared" si="5"/>
        <v/>
      </c>
      <c r="V1051" s="53" t="str">
        <f>IFERROR(__xludf.DUMMYFUNCTION(" IF(Account!$F1051&lt;&gt;"""", SPLIT(Account!$F1051, "" ""), """")"),"")</f>
        <v/>
      </c>
      <c r="W1051" s="54"/>
      <c r="X1051" s="54"/>
      <c r="Y1051" s="54"/>
      <c r="Z1051" s="54"/>
      <c r="AA1051" s="54"/>
      <c r="AB1051" s="54"/>
      <c r="AC1051" s="54"/>
      <c r="AD1051" s="54"/>
      <c r="AE1051" s="54"/>
      <c r="AF1051" s="54"/>
      <c r="AG1051" s="54"/>
      <c r="AH1051" s="54"/>
      <c r="AI1051" s="54"/>
      <c r="AJ1051" s="54"/>
    </row>
    <row r="1052">
      <c r="A1052" s="215"/>
      <c r="B1052" s="215"/>
      <c r="C1052" s="215"/>
      <c r="D1052" s="215"/>
      <c r="E1052" s="215"/>
      <c r="F1052" s="373"/>
      <c r="G1052" s="215"/>
      <c r="H1052" s="215"/>
      <c r="I1052" s="215"/>
      <c r="J1052" s="215"/>
      <c r="K1052" s="215"/>
      <c r="L1052" s="45" t="str">
        <f t="shared" si="1"/>
        <v/>
      </c>
      <c r="M1052" s="46" t="str">
        <f>IFERROR(__xludf.DUMMYFUNCTION("IF(Account!$F1052&lt;&gt;"""", VALUE(REGEXREPLACE($I1052, ""\,"", ""."")), """")"),"")</f>
        <v/>
      </c>
      <c r="N1052" s="47" t="str">
        <f>IF(Account!$F1052&lt;&gt;"", DATEVALUE(MID($A1052,4,3) &amp; LEFT($A1052,3) &amp; RIGHT($A1052,4)) + TIMEVALUE($B1052), "")</f>
        <v/>
      </c>
      <c r="O1052" s="48" t="str">
        <f>IF(Account!$F1052&lt;&gt;"", DATEVALUE(MID($A1052,4,3) &amp; LEFT($A1052,3) &amp; RIGHT($A1052,4)), "")</f>
        <v/>
      </c>
      <c r="P1052" s="49" t="str">
        <f>IFERROR(VLOOKUP($Q1052,Selection!$F:$G,2,false))</f>
        <v/>
      </c>
      <c r="Q1052" s="50" t="str">
        <f>IF(AND($X1052="change",$H1052="EUR"),IF(AND($Z1052="Crédit",$N1052=$N1053),$Q1053,IF(AND($Z1052="Débit",$N1052=$N1051),$Q1051)),IF(OR(AND(OR($E1052&lt;&gt;"",$L1052=""),$M1052&lt;&gt;0),$A1052=""),IFERROR(VLOOKUP($E1052,Selection!$E:$F,2,false)),IFERROR(VLOOKUP(SUBSTITUTE($I1052,"-","",1),$K1053:$Q1119,7,false),VLOOKUP($K1052,$K1053:$Q1119,7,false))))</f>
        <v/>
      </c>
      <c r="R1052" s="49" t="str">
        <f t="shared" si="2"/>
        <v/>
      </c>
      <c r="S1052" s="51" t="str">
        <f t="shared" si="3"/>
        <v/>
      </c>
      <c r="T1052" s="52" t="str">
        <f t="shared" si="4"/>
        <v/>
      </c>
      <c r="U1052" s="46" t="str">
        <f t="shared" si="5"/>
        <v/>
      </c>
      <c r="V1052" s="53" t="str">
        <f>IFERROR(__xludf.DUMMYFUNCTION(" IF(Account!$F1052&lt;&gt;"""", SPLIT(Account!$F1052, "" ""), """")"),"")</f>
        <v/>
      </c>
      <c r="W1052" s="54"/>
      <c r="X1052" s="54"/>
      <c r="Y1052" s="54"/>
      <c r="Z1052" s="54"/>
      <c r="AA1052" s="54"/>
      <c r="AB1052" s="54"/>
      <c r="AC1052" s="54"/>
      <c r="AD1052" s="54"/>
      <c r="AE1052" s="54"/>
      <c r="AF1052" s="54"/>
      <c r="AG1052" s="54"/>
      <c r="AH1052" s="54"/>
      <c r="AI1052" s="54"/>
      <c r="AJ1052" s="54"/>
    </row>
    <row r="1053">
      <c r="A1053" s="215"/>
      <c r="B1053" s="215"/>
      <c r="C1053" s="215"/>
      <c r="D1053" s="215"/>
      <c r="E1053" s="215"/>
      <c r="F1053" s="373"/>
      <c r="G1053" s="215"/>
      <c r="H1053" s="215"/>
      <c r="I1053" s="215"/>
      <c r="J1053" s="215"/>
      <c r="K1053" s="215"/>
      <c r="L1053" s="45" t="str">
        <f t="shared" si="1"/>
        <v/>
      </c>
      <c r="M1053" s="46" t="str">
        <f>IFERROR(__xludf.DUMMYFUNCTION("IF(Account!$F1053&lt;&gt;"""", VALUE(REGEXREPLACE($I1053, ""\,"", ""."")), """")"),"")</f>
        <v/>
      </c>
      <c r="N1053" s="47" t="str">
        <f>IF(Account!$F1053&lt;&gt;"", DATEVALUE(MID($A1053,4,3) &amp; LEFT($A1053,3) &amp; RIGHT($A1053,4)) + TIMEVALUE($B1053), "")</f>
        <v/>
      </c>
      <c r="O1053" s="48" t="str">
        <f>IF(Account!$F1053&lt;&gt;"", DATEVALUE(MID($A1053,4,3) &amp; LEFT($A1053,3) &amp; RIGHT($A1053,4)), "")</f>
        <v/>
      </c>
      <c r="P1053" s="49" t="str">
        <f>IFERROR(VLOOKUP($Q1053,Selection!$F:$G,2,false))</f>
        <v/>
      </c>
      <c r="Q1053" s="50" t="str">
        <f>IF(AND($X1053="change",$H1053="EUR"),IF(AND($Z1053="Crédit",$N1053=$N1054),$Q1054,IF(AND($Z1053="Débit",$N1053=$N1052),$Q1052)),IF(OR(AND(OR($E1053&lt;&gt;"",$L1053=""),$M1053&lt;&gt;0),$A1053=""),IFERROR(VLOOKUP($E1053,Selection!$E:$F,2,false)),IFERROR(VLOOKUP(SUBSTITUTE($I1053,"-","",1),$K1054:$Q1119,7,false),VLOOKUP($K1053,$K1054:$Q1119,7,false))))</f>
        <v/>
      </c>
      <c r="R1053" s="49" t="str">
        <f t="shared" si="2"/>
        <v/>
      </c>
      <c r="S1053" s="51" t="str">
        <f t="shared" si="3"/>
        <v/>
      </c>
      <c r="T1053" s="52" t="str">
        <f t="shared" si="4"/>
        <v/>
      </c>
      <c r="U1053" s="46" t="str">
        <f t="shared" si="5"/>
        <v/>
      </c>
      <c r="V1053" s="53" t="str">
        <f>IFERROR(__xludf.DUMMYFUNCTION(" IF(Account!$F1053&lt;&gt;"""", SPLIT(Account!$F1053, "" ""), """")"),"")</f>
        <v/>
      </c>
      <c r="W1053" s="54"/>
      <c r="X1053" s="54"/>
      <c r="Y1053" s="54"/>
      <c r="Z1053" s="54"/>
      <c r="AA1053" s="54"/>
      <c r="AB1053" s="54"/>
      <c r="AC1053" s="54"/>
      <c r="AD1053" s="54"/>
      <c r="AE1053" s="54"/>
      <c r="AF1053" s="54"/>
      <c r="AG1053" s="54"/>
      <c r="AH1053" s="54"/>
      <c r="AI1053" s="54"/>
      <c r="AJ1053" s="54"/>
    </row>
    <row r="1054">
      <c r="A1054" s="215"/>
      <c r="B1054" s="215"/>
      <c r="C1054" s="215"/>
      <c r="D1054" s="215"/>
      <c r="E1054" s="215"/>
      <c r="F1054" s="373"/>
      <c r="G1054" s="215"/>
      <c r="H1054" s="215"/>
      <c r="I1054" s="215"/>
      <c r="J1054" s="215"/>
      <c r="K1054" s="215"/>
      <c r="L1054" s="45" t="str">
        <f t="shared" si="1"/>
        <v/>
      </c>
      <c r="M1054" s="46" t="str">
        <f>IFERROR(__xludf.DUMMYFUNCTION("IF(Account!$F1054&lt;&gt;"""", VALUE(REGEXREPLACE($I1054, ""\,"", ""."")), """")"),"")</f>
        <v/>
      </c>
      <c r="N1054" s="47" t="str">
        <f>IF(Account!$F1054&lt;&gt;"", DATEVALUE(MID($A1054,4,3) &amp; LEFT($A1054,3) &amp; RIGHT($A1054,4)) + TIMEVALUE($B1054), "")</f>
        <v/>
      </c>
      <c r="O1054" s="48" t="str">
        <f>IF(Account!$F1054&lt;&gt;"", DATEVALUE(MID($A1054,4,3) &amp; LEFT($A1054,3) &amp; RIGHT($A1054,4)), "")</f>
        <v/>
      </c>
      <c r="P1054" s="49" t="str">
        <f>IFERROR(VLOOKUP($Q1054,Selection!$F:$G,2,false))</f>
        <v/>
      </c>
      <c r="Q1054" s="50" t="str">
        <f>IF(AND($X1054="change",$H1054="EUR"),IF(AND($Z1054="Crédit",$N1054=$N1055),$Q1055,IF(AND($Z1054="Débit",$N1054=$N1053),$Q1053)),IF(OR(AND(OR($E1054&lt;&gt;"",$L1054=""),$M1054&lt;&gt;0),$A1054=""),IFERROR(VLOOKUP($E1054,Selection!$E:$F,2,false)),IFERROR(VLOOKUP(SUBSTITUTE($I1054,"-","",1),$K1055:$Q1119,7,false),VLOOKUP($K1054,$K1055:$Q1119,7,false))))</f>
        <v/>
      </c>
      <c r="R1054" s="49" t="str">
        <f t="shared" si="2"/>
        <v/>
      </c>
      <c r="S1054" s="51" t="str">
        <f t="shared" si="3"/>
        <v/>
      </c>
      <c r="T1054" s="52" t="str">
        <f t="shared" si="4"/>
        <v/>
      </c>
      <c r="U1054" s="46" t="str">
        <f t="shared" si="5"/>
        <v/>
      </c>
      <c r="V1054" s="53" t="str">
        <f>IFERROR(__xludf.DUMMYFUNCTION(" IF(Account!$F1054&lt;&gt;"""", SPLIT(Account!$F1054, "" ""), """")"),"")</f>
        <v/>
      </c>
      <c r="W1054" s="54"/>
      <c r="X1054" s="54"/>
      <c r="Y1054" s="54"/>
      <c r="Z1054" s="54"/>
      <c r="AA1054" s="54"/>
      <c r="AB1054" s="54"/>
      <c r="AC1054" s="54"/>
      <c r="AD1054" s="54"/>
      <c r="AE1054" s="54"/>
      <c r="AF1054" s="54"/>
      <c r="AG1054" s="54"/>
      <c r="AH1054" s="54"/>
      <c r="AI1054" s="54"/>
      <c r="AJ1054" s="54"/>
    </row>
    <row r="1055">
      <c r="A1055" s="215"/>
      <c r="B1055" s="215"/>
      <c r="C1055" s="215"/>
      <c r="D1055" s="215"/>
      <c r="E1055" s="215"/>
      <c r="F1055" s="373"/>
      <c r="G1055" s="215"/>
      <c r="H1055" s="215"/>
      <c r="I1055" s="215"/>
      <c r="J1055" s="215"/>
      <c r="K1055" s="215"/>
      <c r="L1055" s="45" t="str">
        <f t="shared" si="1"/>
        <v/>
      </c>
      <c r="M1055" s="46" t="str">
        <f>IFERROR(__xludf.DUMMYFUNCTION("IF(Account!$F1055&lt;&gt;"""", VALUE(REGEXREPLACE($I1055, ""\,"", ""."")), """")"),"")</f>
        <v/>
      </c>
      <c r="N1055" s="47" t="str">
        <f>IF(Account!$F1055&lt;&gt;"", DATEVALUE(MID($A1055,4,3) &amp; LEFT($A1055,3) &amp; RIGHT($A1055,4)) + TIMEVALUE($B1055), "")</f>
        <v/>
      </c>
      <c r="O1055" s="48" t="str">
        <f>IF(Account!$F1055&lt;&gt;"", DATEVALUE(MID($A1055,4,3) &amp; LEFT($A1055,3) &amp; RIGHT($A1055,4)), "")</f>
        <v/>
      </c>
      <c r="P1055" s="49" t="str">
        <f>IFERROR(VLOOKUP($Q1055,Selection!$F:$G,2,false))</f>
        <v/>
      </c>
      <c r="Q1055" s="50" t="str">
        <f>IF(AND($X1055="change",$H1055="EUR"),IF(AND($Z1055="Crédit",$N1055=$N1056),$Q1056,IF(AND($Z1055="Débit",$N1055=$N1054),$Q1054)),IF(OR(AND(OR($E1055&lt;&gt;"",$L1055=""),$M1055&lt;&gt;0),$A1055=""),IFERROR(VLOOKUP($E1055,Selection!$E:$F,2,false)),IFERROR(VLOOKUP(SUBSTITUTE($I1055,"-","",1),$K1056:$Q1119,7,false),VLOOKUP($K1055,$K1056:$Q1119,7,false))))</f>
        <v/>
      </c>
      <c r="R1055" s="49" t="str">
        <f t="shared" si="2"/>
        <v/>
      </c>
      <c r="S1055" s="51" t="str">
        <f t="shared" si="3"/>
        <v/>
      </c>
      <c r="T1055" s="52" t="str">
        <f t="shared" si="4"/>
        <v/>
      </c>
      <c r="U1055" s="46" t="str">
        <f t="shared" si="5"/>
        <v/>
      </c>
      <c r="V1055" s="53" t="str">
        <f>IFERROR(__xludf.DUMMYFUNCTION(" IF(Account!$F1055&lt;&gt;"""", SPLIT(Account!$F1055, "" ""), """")"),"")</f>
        <v/>
      </c>
      <c r="W1055" s="54"/>
      <c r="X1055" s="54"/>
      <c r="Y1055" s="54"/>
      <c r="Z1055" s="54"/>
      <c r="AA1055" s="54"/>
      <c r="AB1055" s="54"/>
      <c r="AC1055" s="54"/>
      <c r="AD1055" s="54"/>
      <c r="AE1055" s="54"/>
      <c r="AF1055" s="54"/>
      <c r="AG1055" s="54"/>
      <c r="AH1055" s="54"/>
      <c r="AI1055" s="54"/>
      <c r="AJ1055" s="54"/>
    </row>
    <row r="1056">
      <c r="A1056" s="215"/>
      <c r="B1056" s="215"/>
      <c r="C1056" s="215"/>
      <c r="D1056" s="215"/>
      <c r="E1056" s="215"/>
      <c r="F1056" s="373"/>
      <c r="G1056" s="215"/>
      <c r="H1056" s="215"/>
      <c r="I1056" s="215"/>
      <c r="J1056" s="215"/>
      <c r="K1056" s="215"/>
      <c r="L1056" s="45" t="str">
        <f t="shared" si="1"/>
        <v/>
      </c>
      <c r="M1056" s="46" t="str">
        <f>IFERROR(__xludf.DUMMYFUNCTION("IF(Account!$F1056&lt;&gt;"""", VALUE(REGEXREPLACE($I1056, ""\,"", ""."")), """")"),"")</f>
        <v/>
      </c>
      <c r="N1056" s="47" t="str">
        <f>IF(Account!$F1056&lt;&gt;"", DATEVALUE(MID($A1056,4,3) &amp; LEFT($A1056,3) &amp; RIGHT($A1056,4)) + TIMEVALUE($B1056), "")</f>
        <v/>
      </c>
      <c r="O1056" s="48" t="str">
        <f>IF(Account!$F1056&lt;&gt;"", DATEVALUE(MID($A1056,4,3) &amp; LEFT($A1056,3) &amp; RIGHT($A1056,4)), "")</f>
        <v/>
      </c>
      <c r="P1056" s="49" t="str">
        <f>IFERROR(VLOOKUP($Q1056,Selection!$F:$G,2,false))</f>
        <v/>
      </c>
      <c r="Q1056" s="50" t="str">
        <f>IF(AND($X1056="change",$H1056="EUR"),IF(AND($Z1056="Crédit",$N1056=$N1057),$Q1057,IF(AND($Z1056="Débit",$N1056=$N1055),$Q1055)),IF(OR(AND(OR($E1056&lt;&gt;"",$L1056=""),$M1056&lt;&gt;0),$A1056=""),IFERROR(VLOOKUP($E1056,Selection!$E:$F,2,false)),IFERROR(VLOOKUP(SUBSTITUTE($I1056,"-","",1),$K1057:$Q1119,7,false),VLOOKUP($K1056,$K1057:$Q1119,7,false))))</f>
        <v/>
      </c>
      <c r="R1056" s="49" t="str">
        <f t="shared" si="2"/>
        <v/>
      </c>
      <c r="S1056" s="51" t="str">
        <f t="shared" si="3"/>
        <v/>
      </c>
      <c r="T1056" s="52" t="str">
        <f t="shared" si="4"/>
        <v/>
      </c>
      <c r="U1056" s="46" t="str">
        <f t="shared" si="5"/>
        <v/>
      </c>
      <c r="V1056" s="53" t="str">
        <f>IFERROR(__xludf.DUMMYFUNCTION(" IF(Account!$F1056&lt;&gt;"""", SPLIT(Account!$F1056, "" ""), """")"),"")</f>
        <v/>
      </c>
      <c r="W1056" s="54"/>
      <c r="X1056" s="54"/>
      <c r="Y1056" s="54"/>
      <c r="Z1056" s="54"/>
      <c r="AA1056" s="54"/>
      <c r="AB1056" s="54"/>
      <c r="AC1056" s="54"/>
      <c r="AD1056" s="54"/>
      <c r="AE1056" s="54"/>
      <c r="AF1056" s="54"/>
      <c r="AG1056" s="54"/>
      <c r="AH1056" s="54"/>
      <c r="AI1056" s="54"/>
      <c r="AJ1056" s="54"/>
    </row>
    <row r="1057">
      <c r="A1057" s="215"/>
      <c r="B1057" s="215"/>
      <c r="C1057" s="215"/>
      <c r="D1057" s="215"/>
      <c r="E1057" s="215"/>
      <c r="F1057" s="373"/>
      <c r="G1057" s="215"/>
      <c r="H1057" s="215"/>
      <c r="I1057" s="215"/>
      <c r="J1057" s="215"/>
      <c r="K1057" s="215"/>
      <c r="L1057" s="45" t="str">
        <f t="shared" si="1"/>
        <v/>
      </c>
      <c r="M1057" s="46" t="str">
        <f>IFERROR(__xludf.DUMMYFUNCTION("IF(Account!$F1057&lt;&gt;"""", VALUE(REGEXREPLACE($I1057, ""\,"", ""."")), """")"),"")</f>
        <v/>
      </c>
      <c r="N1057" s="47" t="str">
        <f>IF(Account!$F1057&lt;&gt;"", DATEVALUE(MID($A1057,4,3) &amp; LEFT($A1057,3) &amp; RIGHT($A1057,4)) + TIMEVALUE($B1057), "")</f>
        <v/>
      </c>
      <c r="O1057" s="48" t="str">
        <f>IF(Account!$F1057&lt;&gt;"", DATEVALUE(MID($A1057,4,3) &amp; LEFT($A1057,3) &amp; RIGHT($A1057,4)), "")</f>
        <v/>
      </c>
      <c r="P1057" s="49" t="str">
        <f>IFERROR(VLOOKUP($Q1057,Selection!$F:$G,2,false))</f>
        <v/>
      </c>
      <c r="Q1057" s="50" t="str">
        <f>IF(AND($X1057="change",$H1057="EUR"),IF(AND($Z1057="Crédit",$N1057=$N1058),$Q1058,IF(AND($Z1057="Débit",$N1057=$N1056),$Q1056)),IF(OR(AND(OR($E1057&lt;&gt;"",$L1057=""),$M1057&lt;&gt;0),$A1057=""),IFERROR(VLOOKUP($E1057,Selection!$E:$F,2,false)),IFERROR(VLOOKUP(SUBSTITUTE($I1057,"-","",1),$K1058:$Q1119,7,false),VLOOKUP($K1057,$K1058:$Q1119,7,false))))</f>
        <v/>
      </c>
      <c r="R1057" s="49" t="str">
        <f t="shared" si="2"/>
        <v/>
      </c>
      <c r="S1057" s="51" t="str">
        <f t="shared" si="3"/>
        <v/>
      </c>
      <c r="T1057" s="52" t="str">
        <f t="shared" si="4"/>
        <v/>
      </c>
      <c r="U1057" s="46" t="str">
        <f t="shared" si="5"/>
        <v/>
      </c>
      <c r="V1057" s="53" t="str">
        <f>IFERROR(__xludf.DUMMYFUNCTION(" IF(Account!$F1057&lt;&gt;"""", SPLIT(Account!$F1057, "" ""), """")"),"")</f>
        <v/>
      </c>
      <c r="W1057" s="54"/>
      <c r="X1057" s="54"/>
      <c r="Y1057" s="54"/>
      <c r="Z1057" s="54"/>
      <c r="AA1057" s="54"/>
      <c r="AB1057" s="54"/>
      <c r="AC1057" s="54"/>
      <c r="AD1057" s="54"/>
      <c r="AE1057" s="54"/>
      <c r="AF1057" s="54"/>
      <c r="AG1057" s="54"/>
      <c r="AH1057" s="54"/>
      <c r="AI1057" s="54"/>
      <c r="AJ1057" s="54"/>
    </row>
    <row r="1058">
      <c r="A1058" s="215"/>
      <c r="B1058" s="215"/>
      <c r="C1058" s="215"/>
      <c r="D1058" s="215"/>
      <c r="E1058" s="215"/>
      <c r="F1058" s="373"/>
      <c r="G1058" s="215"/>
      <c r="H1058" s="215"/>
      <c r="I1058" s="215"/>
      <c r="J1058" s="215"/>
      <c r="K1058" s="215"/>
      <c r="L1058" s="45" t="str">
        <f t="shared" si="1"/>
        <v/>
      </c>
      <c r="M1058" s="46" t="str">
        <f>IFERROR(__xludf.DUMMYFUNCTION("IF(Account!$F1058&lt;&gt;"""", VALUE(REGEXREPLACE($I1058, ""\,"", ""."")), """")"),"")</f>
        <v/>
      </c>
      <c r="N1058" s="47" t="str">
        <f>IF(Account!$F1058&lt;&gt;"", DATEVALUE(MID($A1058,4,3) &amp; LEFT($A1058,3) &amp; RIGHT($A1058,4)) + TIMEVALUE($B1058), "")</f>
        <v/>
      </c>
      <c r="O1058" s="48" t="str">
        <f>IF(Account!$F1058&lt;&gt;"", DATEVALUE(MID($A1058,4,3) &amp; LEFT($A1058,3) &amp; RIGHT($A1058,4)), "")</f>
        <v/>
      </c>
      <c r="P1058" s="49" t="str">
        <f>IFERROR(VLOOKUP($Q1058,Selection!$F:$G,2,false))</f>
        <v/>
      </c>
      <c r="Q1058" s="50" t="str">
        <f>IF(AND($X1058="change",$H1058="EUR"),IF(AND($Z1058="Crédit",$N1058=$N1059),$Q1059,IF(AND($Z1058="Débit",$N1058=$N1057),$Q1057)),IF(OR(AND(OR($E1058&lt;&gt;"",$L1058=""),$M1058&lt;&gt;0),$A1058=""),IFERROR(VLOOKUP($E1058,Selection!$E:$F,2,false)),IFERROR(VLOOKUP(SUBSTITUTE($I1058,"-","",1),$K1059:$Q1119,7,false),VLOOKUP($K1058,$K1059:$Q1119,7,false))))</f>
        <v/>
      </c>
      <c r="R1058" s="49" t="str">
        <f t="shared" si="2"/>
        <v/>
      </c>
      <c r="S1058" s="51" t="str">
        <f t="shared" si="3"/>
        <v/>
      </c>
      <c r="T1058" s="52" t="str">
        <f t="shared" si="4"/>
        <v/>
      </c>
      <c r="U1058" s="46" t="str">
        <f t="shared" si="5"/>
        <v/>
      </c>
      <c r="V1058" s="53" t="str">
        <f>IFERROR(__xludf.DUMMYFUNCTION(" IF(Account!$F1058&lt;&gt;"""", SPLIT(Account!$F1058, "" ""), """")"),"")</f>
        <v/>
      </c>
      <c r="W1058" s="54"/>
      <c r="X1058" s="54"/>
      <c r="Y1058" s="54"/>
      <c r="Z1058" s="54"/>
      <c r="AA1058" s="54"/>
      <c r="AB1058" s="54"/>
      <c r="AC1058" s="54"/>
      <c r="AD1058" s="54"/>
      <c r="AE1058" s="54"/>
      <c r="AF1058" s="54"/>
      <c r="AG1058" s="54"/>
      <c r="AH1058" s="54"/>
      <c r="AI1058" s="54"/>
      <c r="AJ1058" s="54"/>
    </row>
    <row r="1059">
      <c r="A1059" s="215"/>
      <c r="B1059" s="215"/>
      <c r="C1059" s="215"/>
      <c r="D1059" s="215"/>
      <c r="E1059" s="215"/>
      <c r="F1059" s="373"/>
      <c r="G1059" s="215"/>
      <c r="H1059" s="215"/>
      <c r="I1059" s="215"/>
      <c r="J1059" s="215"/>
      <c r="K1059" s="215"/>
      <c r="L1059" s="45" t="str">
        <f t="shared" si="1"/>
        <v/>
      </c>
      <c r="M1059" s="46" t="str">
        <f>IFERROR(__xludf.DUMMYFUNCTION("IF(Account!$F1059&lt;&gt;"""", VALUE(REGEXREPLACE($I1059, ""\,"", ""."")), """")"),"")</f>
        <v/>
      </c>
      <c r="N1059" s="47" t="str">
        <f>IF(Account!$F1059&lt;&gt;"", DATEVALUE(MID($A1059,4,3) &amp; LEFT($A1059,3) &amp; RIGHT($A1059,4)) + TIMEVALUE($B1059), "")</f>
        <v/>
      </c>
      <c r="O1059" s="48" t="str">
        <f>IF(Account!$F1059&lt;&gt;"", DATEVALUE(MID($A1059,4,3) &amp; LEFT($A1059,3) &amp; RIGHT($A1059,4)), "")</f>
        <v/>
      </c>
      <c r="P1059" s="49" t="str">
        <f>IFERROR(VLOOKUP($Q1059,Selection!$F:$G,2,false))</f>
        <v/>
      </c>
      <c r="Q1059" s="50" t="str">
        <f>IF(AND($X1059="change",$H1059="EUR"),IF(AND($Z1059="Crédit",$N1059=$N1060),$Q1060,IF(AND($Z1059="Débit",$N1059=$N1058),$Q1058)),IF(OR(AND(OR($E1059&lt;&gt;"",$L1059=""),$M1059&lt;&gt;0),$A1059=""),IFERROR(VLOOKUP($E1059,Selection!$E:$F,2,false)),IFERROR(VLOOKUP(SUBSTITUTE($I1059,"-","",1),$K1060:$Q1119,7,false),VLOOKUP($K1059,$K1060:$Q1119,7,false))))</f>
        <v/>
      </c>
      <c r="R1059" s="49" t="str">
        <f t="shared" si="2"/>
        <v/>
      </c>
      <c r="S1059" s="51" t="str">
        <f t="shared" si="3"/>
        <v/>
      </c>
      <c r="T1059" s="52" t="str">
        <f t="shared" si="4"/>
        <v/>
      </c>
      <c r="U1059" s="46" t="str">
        <f t="shared" si="5"/>
        <v/>
      </c>
      <c r="V1059" s="53" t="str">
        <f>IFERROR(__xludf.DUMMYFUNCTION(" IF(Account!$F1059&lt;&gt;"""", SPLIT(Account!$F1059, "" ""), """")"),"")</f>
        <v/>
      </c>
      <c r="W1059" s="54"/>
      <c r="X1059" s="54"/>
      <c r="Y1059" s="54"/>
      <c r="Z1059" s="54"/>
      <c r="AA1059" s="54"/>
      <c r="AB1059" s="54"/>
      <c r="AC1059" s="54"/>
      <c r="AD1059" s="54"/>
      <c r="AE1059" s="54"/>
      <c r="AF1059" s="54"/>
      <c r="AG1059" s="54"/>
      <c r="AH1059" s="54"/>
      <c r="AI1059" s="54"/>
      <c r="AJ1059" s="54"/>
    </row>
    <row r="1060">
      <c r="A1060" s="215"/>
      <c r="B1060" s="215"/>
      <c r="C1060" s="215"/>
      <c r="D1060" s="215"/>
      <c r="E1060" s="215"/>
      <c r="F1060" s="373"/>
      <c r="G1060" s="215"/>
      <c r="H1060" s="215"/>
      <c r="I1060" s="215"/>
      <c r="J1060" s="215"/>
      <c r="K1060" s="215"/>
      <c r="L1060" s="45" t="str">
        <f t="shared" si="1"/>
        <v/>
      </c>
      <c r="M1060" s="46" t="str">
        <f>IFERROR(__xludf.DUMMYFUNCTION("IF(Account!$F1060&lt;&gt;"""", VALUE(REGEXREPLACE($I1060, ""\,"", ""."")), """")"),"")</f>
        <v/>
      </c>
      <c r="N1060" s="47" t="str">
        <f>IF(Account!$F1060&lt;&gt;"", DATEVALUE(MID($A1060,4,3) &amp; LEFT($A1060,3) &amp; RIGHT($A1060,4)) + TIMEVALUE($B1060), "")</f>
        <v/>
      </c>
      <c r="O1060" s="48" t="str">
        <f>IF(Account!$F1060&lt;&gt;"", DATEVALUE(MID($A1060,4,3) &amp; LEFT($A1060,3) &amp; RIGHT($A1060,4)), "")</f>
        <v/>
      </c>
      <c r="P1060" s="49" t="str">
        <f>IFERROR(VLOOKUP($Q1060,Selection!$F:$G,2,false))</f>
        <v/>
      </c>
      <c r="Q1060" s="50" t="str">
        <f>IF(AND($X1060="change",$H1060="EUR"),IF(AND($Z1060="Crédit",$N1060=$N1061),$Q1061,IF(AND($Z1060="Débit",$N1060=$N1059),$Q1059)),IF(OR(AND(OR($E1060&lt;&gt;"",$L1060=""),$M1060&lt;&gt;0),$A1060=""),IFERROR(VLOOKUP($E1060,Selection!$E:$F,2,false)),IFERROR(VLOOKUP(SUBSTITUTE($I1060,"-","",1),$K1061:$Q1119,7,false),VLOOKUP($K1060,$K1061:$Q1119,7,false))))</f>
        <v/>
      </c>
      <c r="R1060" s="49" t="str">
        <f t="shared" si="2"/>
        <v/>
      </c>
      <c r="S1060" s="51" t="str">
        <f t="shared" si="3"/>
        <v/>
      </c>
      <c r="T1060" s="52" t="str">
        <f t="shared" si="4"/>
        <v/>
      </c>
      <c r="U1060" s="46" t="str">
        <f t="shared" si="5"/>
        <v/>
      </c>
      <c r="V1060" s="53" t="str">
        <f>IFERROR(__xludf.DUMMYFUNCTION(" IF(Account!$F1060&lt;&gt;"""", SPLIT(Account!$F1060, "" ""), """")"),"")</f>
        <v/>
      </c>
      <c r="W1060" s="54"/>
      <c r="X1060" s="54"/>
      <c r="Y1060" s="54"/>
      <c r="Z1060" s="54"/>
      <c r="AA1060" s="54"/>
      <c r="AB1060" s="54"/>
      <c r="AC1060" s="54"/>
      <c r="AD1060" s="54"/>
      <c r="AE1060" s="54"/>
      <c r="AF1060" s="54"/>
      <c r="AG1060" s="54"/>
      <c r="AH1060" s="54"/>
      <c r="AI1060" s="54"/>
      <c r="AJ1060" s="54"/>
    </row>
    <row r="1061">
      <c r="A1061" s="215"/>
      <c r="B1061" s="215"/>
      <c r="C1061" s="215"/>
      <c r="D1061" s="215"/>
      <c r="E1061" s="215"/>
      <c r="F1061" s="373"/>
      <c r="G1061" s="215"/>
      <c r="H1061" s="215"/>
      <c r="I1061" s="215"/>
      <c r="J1061" s="215"/>
      <c r="K1061" s="215"/>
      <c r="L1061" s="45" t="str">
        <f t="shared" si="1"/>
        <v/>
      </c>
      <c r="M1061" s="46" t="str">
        <f>IFERROR(__xludf.DUMMYFUNCTION("IF(Account!$F1061&lt;&gt;"""", VALUE(REGEXREPLACE($I1061, ""\,"", ""."")), """")"),"")</f>
        <v/>
      </c>
      <c r="N1061" s="47" t="str">
        <f>IF(Account!$F1061&lt;&gt;"", DATEVALUE(MID($A1061,4,3) &amp; LEFT($A1061,3) &amp; RIGHT($A1061,4)) + TIMEVALUE($B1061), "")</f>
        <v/>
      </c>
      <c r="O1061" s="48" t="str">
        <f>IF(Account!$F1061&lt;&gt;"", DATEVALUE(MID($A1061,4,3) &amp; LEFT($A1061,3) &amp; RIGHT($A1061,4)), "")</f>
        <v/>
      </c>
      <c r="P1061" s="49" t="str">
        <f>IFERROR(VLOOKUP($Q1061,Selection!$F:$G,2,false))</f>
        <v/>
      </c>
      <c r="Q1061" s="50" t="str">
        <f>IF(AND($X1061="change",$H1061="EUR"),IF(AND($Z1061="Crédit",$N1061=$N1062),$Q1062,IF(AND($Z1061="Débit",$N1061=$N1060),$Q1060)),IF(OR(AND(OR($E1061&lt;&gt;"",$L1061=""),$M1061&lt;&gt;0),$A1061=""),IFERROR(VLOOKUP($E1061,Selection!$E:$F,2,false)),IFERROR(VLOOKUP(SUBSTITUTE($I1061,"-","",1),$K1062:$Q1119,7,false),VLOOKUP($K1061,$K1062:$Q1119,7,false))))</f>
        <v/>
      </c>
      <c r="R1061" s="49" t="str">
        <f t="shared" si="2"/>
        <v/>
      </c>
      <c r="S1061" s="51" t="str">
        <f t="shared" si="3"/>
        <v/>
      </c>
      <c r="T1061" s="52" t="str">
        <f t="shared" si="4"/>
        <v/>
      </c>
      <c r="U1061" s="46" t="str">
        <f t="shared" si="5"/>
        <v/>
      </c>
      <c r="V1061" s="53" t="str">
        <f>IFERROR(__xludf.DUMMYFUNCTION(" IF(Account!$F1061&lt;&gt;"""", SPLIT(Account!$F1061, "" ""), """")"),"")</f>
        <v/>
      </c>
      <c r="W1061" s="54"/>
      <c r="X1061" s="54"/>
      <c r="Y1061" s="54"/>
      <c r="Z1061" s="54"/>
      <c r="AA1061" s="54"/>
      <c r="AB1061" s="54"/>
      <c r="AC1061" s="54"/>
      <c r="AD1061" s="54"/>
      <c r="AE1061" s="54"/>
      <c r="AF1061" s="54"/>
      <c r="AG1061" s="54"/>
      <c r="AH1061" s="54"/>
      <c r="AI1061" s="54"/>
      <c r="AJ1061" s="54"/>
    </row>
    <row r="1062">
      <c r="A1062" s="215"/>
      <c r="B1062" s="215"/>
      <c r="C1062" s="215"/>
      <c r="D1062" s="215"/>
      <c r="E1062" s="215"/>
      <c r="F1062" s="373"/>
      <c r="G1062" s="215"/>
      <c r="H1062" s="215"/>
      <c r="I1062" s="215"/>
      <c r="J1062" s="215"/>
      <c r="K1062" s="215"/>
      <c r="L1062" s="45" t="str">
        <f t="shared" si="1"/>
        <v/>
      </c>
      <c r="M1062" s="46" t="str">
        <f>IFERROR(__xludf.DUMMYFUNCTION("IF(Account!$F1062&lt;&gt;"""", VALUE(REGEXREPLACE($I1062, ""\,"", ""."")), """")"),"")</f>
        <v/>
      </c>
      <c r="N1062" s="47" t="str">
        <f>IF(Account!$F1062&lt;&gt;"", DATEVALUE(MID($A1062,4,3) &amp; LEFT($A1062,3) &amp; RIGHT($A1062,4)) + TIMEVALUE($B1062), "")</f>
        <v/>
      </c>
      <c r="O1062" s="48" t="str">
        <f>IF(Account!$F1062&lt;&gt;"", DATEVALUE(MID($A1062,4,3) &amp; LEFT($A1062,3) &amp; RIGHT($A1062,4)), "")</f>
        <v/>
      </c>
      <c r="P1062" s="49" t="str">
        <f>IFERROR(VLOOKUP($Q1062,Selection!$F:$G,2,false))</f>
        <v/>
      </c>
      <c r="Q1062" s="50" t="str">
        <f>IF(AND($X1062="change",$H1062="EUR"),IF(AND($Z1062="Crédit",$N1062=$N1063),$Q1063,IF(AND($Z1062="Débit",$N1062=$N1061),$Q1061)),IF(OR(AND(OR($E1062&lt;&gt;"",$L1062=""),$M1062&lt;&gt;0),$A1062=""),IFERROR(VLOOKUP($E1062,Selection!$E:$F,2,false)),IFERROR(VLOOKUP(SUBSTITUTE($I1062,"-","",1),$K1063:$Q1119,7,false),VLOOKUP($K1062,$K1063:$Q1119,7,false))))</f>
        <v/>
      </c>
      <c r="R1062" s="49" t="str">
        <f t="shared" si="2"/>
        <v/>
      </c>
      <c r="S1062" s="51" t="str">
        <f t="shared" si="3"/>
        <v/>
      </c>
      <c r="T1062" s="52" t="str">
        <f t="shared" si="4"/>
        <v/>
      </c>
      <c r="U1062" s="46" t="str">
        <f t="shared" si="5"/>
        <v/>
      </c>
      <c r="V1062" s="53" t="str">
        <f>IFERROR(__xludf.DUMMYFUNCTION(" IF(Account!$F1062&lt;&gt;"""", SPLIT(Account!$F1062, "" ""), """")"),"")</f>
        <v/>
      </c>
      <c r="W1062" s="54"/>
      <c r="X1062" s="54"/>
      <c r="Y1062" s="54"/>
      <c r="Z1062" s="54"/>
      <c r="AA1062" s="54"/>
      <c r="AB1062" s="54"/>
      <c r="AC1062" s="54"/>
      <c r="AD1062" s="54"/>
      <c r="AE1062" s="54"/>
      <c r="AF1062" s="54"/>
      <c r="AG1062" s="54"/>
      <c r="AH1062" s="54"/>
      <c r="AI1062" s="54"/>
      <c r="AJ1062" s="54"/>
    </row>
    <row r="1063">
      <c r="A1063" s="215"/>
      <c r="B1063" s="215"/>
      <c r="C1063" s="215"/>
      <c r="D1063" s="215"/>
      <c r="E1063" s="215"/>
      <c r="F1063" s="373"/>
      <c r="G1063" s="215"/>
      <c r="H1063" s="215"/>
      <c r="I1063" s="215"/>
      <c r="J1063" s="215"/>
      <c r="K1063" s="215"/>
      <c r="L1063" s="45" t="str">
        <f t="shared" si="1"/>
        <v/>
      </c>
      <c r="M1063" s="46" t="str">
        <f>IFERROR(__xludf.DUMMYFUNCTION("IF(Account!$F1063&lt;&gt;"""", VALUE(REGEXREPLACE($I1063, ""\,"", ""."")), """")"),"")</f>
        <v/>
      </c>
      <c r="N1063" s="47" t="str">
        <f>IF(Account!$F1063&lt;&gt;"", DATEVALUE(MID($A1063,4,3) &amp; LEFT($A1063,3) &amp; RIGHT($A1063,4)) + TIMEVALUE($B1063), "")</f>
        <v/>
      </c>
      <c r="O1063" s="48" t="str">
        <f>IF(Account!$F1063&lt;&gt;"", DATEVALUE(MID($A1063,4,3) &amp; LEFT($A1063,3) &amp; RIGHT($A1063,4)), "")</f>
        <v/>
      </c>
      <c r="P1063" s="49" t="str">
        <f>IFERROR(VLOOKUP($Q1063,Selection!$F:$G,2,false))</f>
        <v/>
      </c>
      <c r="Q1063" s="50" t="str">
        <f>IF(AND($X1063="change",$H1063="EUR"),IF(AND($Z1063="Crédit",$N1063=$N1064),$Q1064,IF(AND($Z1063="Débit",$N1063=$N1062),$Q1062)),IF(OR(AND(OR($E1063&lt;&gt;"",$L1063=""),$M1063&lt;&gt;0),$A1063=""),IFERROR(VLOOKUP($E1063,Selection!$E:$F,2,false)),IFERROR(VLOOKUP(SUBSTITUTE($I1063,"-","",1),$K1064:$Q1119,7,false),VLOOKUP($K1063,$K1064:$Q1119,7,false))))</f>
        <v/>
      </c>
      <c r="R1063" s="49" t="str">
        <f t="shared" si="2"/>
        <v/>
      </c>
      <c r="S1063" s="51" t="str">
        <f t="shared" si="3"/>
        <v/>
      </c>
      <c r="T1063" s="52" t="str">
        <f t="shared" si="4"/>
        <v/>
      </c>
      <c r="U1063" s="46" t="str">
        <f t="shared" si="5"/>
        <v/>
      </c>
      <c r="V1063" s="53" t="str">
        <f>IFERROR(__xludf.DUMMYFUNCTION(" IF(Account!$F1063&lt;&gt;"""", SPLIT(Account!$F1063, "" ""), """")"),"")</f>
        <v/>
      </c>
      <c r="W1063" s="54"/>
      <c r="X1063" s="54"/>
      <c r="Y1063" s="54"/>
      <c r="Z1063" s="54"/>
      <c r="AA1063" s="54"/>
      <c r="AB1063" s="54"/>
      <c r="AC1063" s="54"/>
      <c r="AD1063" s="54"/>
      <c r="AE1063" s="54"/>
      <c r="AF1063" s="54"/>
      <c r="AG1063" s="54"/>
      <c r="AH1063" s="54"/>
      <c r="AI1063" s="54"/>
      <c r="AJ1063" s="54"/>
    </row>
    <row r="1064">
      <c r="A1064" s="215"/>
      <c r="B1064" s="215"/>
      <c r="C1064" s="215"/>
      <c r="D1064" s="215"/>
      <c r="E1064" s="215"/>
      <c r="F1064" s="373"/>
      <c r="G1064" s="215"/>
      <c r="H1064" s="215"/>
      <c r="I1064" s="215"/>
      <c r="J1064" s="215"/>
      <c r="K1064" s="215"/>
      <c r="L1064" s="45" t="str">
        <f t="shared" si="1"/>
        <v/>
      </c>
      <c r="M1064" s="46" t="str">
        <f>IFERROR(__xludf.DUMMYFUNCTION("IF(Account!$F1064&lt;&gt;"""", VALUE(REGEXREPLACE($I1064, ""\,"", ""."")), """")"),"")</f>
        <v/>
      </c>
      <c r="N1064" s="47" t="str">
        <f>IF(Account!$F1064&lt;&gt;"", DATEVALUE(MID($A1064,4,3) &amp; LEFT($A1064,3) &amp; RIGHT($A1064,4)) + TIMEVALUE($B1064), "")</f>
        <v/>
      </c>
      <c r="O1064" s="48" t="str">
        <f>IF(Account!$F1064&lt;&gt;"", DATEVALUE(MID($A1064,4,3) &amp; LEFT($A1064,3) &amp; RIGHT($A1064,4)), "")</f>
        <v/>
      </c>
      <c r="P1064" s="49" t="str">
        <f>IFERROR(VLOOKUP($Q1064,Selection!$F:$G,2,false))</f>
        <v/>
      </c>
      <c r="Q1064" s="50" t="str">
        <f>IF(AND($X1064="change",$H1064="EUR"),IF(AND($Z1064="Crédit",$N1064=$N1065),$Q1065,IF(AND($Z1064="Débit",$N1064=$N1063),$Q1063)),IF(OR(AND(OR($E1064&lt;&gt;"",$L1064=""),$M1064&lt;&gt;0),$A1064=""),IFERROR(VLOOKUP($E1064,Selection!$E:$F,2,false)),IFERROR(VLOOKUP(SUBSTITUTE($I1064,"-","",1),$K1065:$Q1119,7,false),VLOOKUP($K1064,$K1065:$Q1119,7,false))))</f>
        <v/>
      </c>
      <c r="R1064" s="49" t="str">
        <f t="shared" si="2"/>
        <v/>
      </c>
      <c r="S1064" s="51" t="str">
        <f t="shared" si="3"/>
        <v/>
      </c>
      <c r="T1064" s="52" t="str">
        <f t="shared" si="4"/>
        <v/>
      </c>
      <c r="U1064" s="46" t="str">
        <f t="shared" si="5"/>
        <v/>
      </c>
      <c r="V1064" s="53" t="str">
        <f>IFERROR(__xludf.DUMMYFUNCTION(" IF(Account!$F1064&lt;&gt;"""", SPLIT(Account!$F1064, "" ""), """")"),"")</f>
        <v/>
      </c>
      <c r="W1064" s="54"/>
      <c r="X1064" s="54"/>
      <c r="Y1064" s="54"/>
      <c r="Z1064" s="54"/>
      <c r="AA1064" s="54"/>
      <c r="AB1064" s="54"/>
      <c r="AC1064" s="54"/>
      <c r="AD1064" s="54"/>
      <c r="AE1064" s="54"/>
      <c r="AF1064" s="54"/>
      <c r="AG1064" s="54"/>
      <c r="AH1064" s="54"/>
      <c r="AI1064" s="54"/>
      <c r="AJ1064" s="54"/>
    </row>
    <row r="1065">
      <c r="A1065" s="215"/>
      <c r="B1065" s="215"/>
      <c r="C1065" s="215"/>
      <c r="D1065" s="215"/>
      <c r="E1065" s="215"/>
      <c r="F1065" s="373"/>
      <c r="G1065" s="215"/>
      <c r="H1065" s="215"/>
      <c r="I1065" s="215"/>
      <c r="J1065" s="215"/>
      <c r="K1065" s="215"/>
      <c r="L1065" s="45" t="str">
        <f t="shared" si="1"/>
        <v/>
      </c>
      <c r="M1065" s="46" t="str">
        <f>IFERROR(__xludf.DUMMYFUNCTION("IF(Account!$F1065&lt;&gt;"""", VALUE(REGEXREPLACE($I1065, ""\,"", ""."")), """")"),"")</f>
        <v/>
      </c>
      <c r="N1065" s="47" t="str">
        <f>IF(Account!$F1065&lt;&gt;"", DATEVALUE(MID($A1065,4,3) &amp; LEFT($A1065,3) &amp; RIGHT($A1065,4)) + TIMEVALUE($B1065), "")</f>
        <v/>
      </c>
      <c r="O1065" s="48" t="str">
        <f>IF(Account!$F1065&lt;&gt;"", DATEVALUE(MID($A1065,4,3) &amp; LEFT($A1065,3) &amp; RIGHT($A1065,4)), "")</f>
        <v/>
      </c>
      <c r="P1065" s="49" t="str">
        <f>IFERROR(VLOOKUP($Q1065,Selection!$F:$G,2,false))</f>
        <v/>
      </c>
      <c r="Q1065" s="50" t="str">
        <f>IF(AND($X1065="change",$H1065="EUR"),IF(AND($Z1065="Crédit",$N1065=$N1066),$Q1066,IF(AND($Z1065="Débit",$N1065=$N1064),$Q1064)),IF(OR(AND(OR($E1065&lt;&gt;"",$L1065=""),$M1065&lt;&gt;0),$A1065=""),IFERROR(VLOOKUP($E1065,Selection!$E:$F,2,false)),IFERROR(VLOOKUP(SUBSTITUTE($I1065,"-","",1),$K1066:$Q1119,7,false),VLOOKUP($K1065,$K1066:$Q1119,7,false))))</f>
        <v/>
      </c>
      <c r="R1065" s="49" t="str">
        <f t="shared" si="2"/>
        <v/>
      </c>
      <c r="S1065" s="51" t="str">
        <f t="shared" si="3"/>
        <v/>
      </c>
      <c r="T1065" s="52" t="str">
        <f t="shared" si="4"/>
        <v/>
      </c>
      <c r="U1065" s="46" t="str">
        <f t="shared" si="5"/>
        <v/>
      </c>
      <c r="V1065" s="53" t="str">
        <f>IFERROR(__xludf.DUMMYFUNCTION(" IF(Account!$F1065&lt;&gt;"""", SPLIT(Account!$F1065, "" ""), """")"),"")</f>
        <v/>
      </c>
      <c r="W1065" s="54"/>
      <c r="X1065" s="54"/>
      <c r="Y1065" s="54"/>
      <c r="Z1065" s="54"/>
      <c r="AA1065" s="54"/>
      <c r="AB1065" s="54"/>
      <c r="AC1065" s="54"/>
      <c r="AD1065" s="54"/>
      <c r="AE1065" s="54"/>
      <c r="AF1065" s="54"/>
      <c r="AG1065" s="54"/>
      <c r="AH1065" s="54"/>
      <c r="AI1065" s="54"/>
      <c r="AJ1065" s="54"/>
    </row>
    <row r="1066">
      <c r="A1066" s="215"/>
      <c r="B1066" s="215"/>
      <c r="C1066" s="215"/>
      <c r="D1066" s="215"/>
      <c r="E1066" s="215"/>
      <c r="F1066" s="373"/>
      <c r="G1066" s="215"/>
      <c r="H1066" s="215"/>
      <c r="I1066" s="215"/>
      <c r="J1066" s="215"/>
      <c r="K1066" s="215"/>
      <c r="L1066" s="45" t="str">
        <f t="shared" si="1"/>
        <v/>
      </c>
      <c r="M1066" s="46" t="str">
        <f>IFERROR(__xludf.DUMMYFUNCTION("IF(Account!$F1066&lt;&gt;"""", VALUE(REGEXREPLACE($I1066, ""\,"", ""."")), """")"),"")</f>
        <v/>
      </c>
      <c r="N1066" s="47" t="str">
        <f>IF(Account!$F1066&lt;&gt;"", DATEVALUE(MID($A1066,4,3) &amp; LEFT($A1066,3) &amp; RIGHT($A1066,4)) + TIMEVALUE($B1066), "")</f>
        <v/>
      </c>
      <c r="O1066" s="48" t="str">
        <f>IF(Account!$F1066&lt;&gt;"", DATEVALUE(MID($A1066,4,3) &amp; LEFT($A1066,3) &amp; RIGHT($A1066,4)), "")</f>
        <v/>
      </c>
      <c r="P1066" s="49" t="str">
        <f>IFERROR(VLOOKUP($Q1066,Selection!$F:$G,2,false))</f>
        <v/>
      </c>
      <c r="Q1066" s="50" t="str">
        <f>IF(AND($X1066="change",$H1066="EUR"),IF(AND($Z1066="Crédit",$N1066=$N1067),$Q1067,IF(AND($Z1066="Débit",$N1066=$N1065),$Q1065)),IF(OR(AND(OR($E1066&lt;&gt;"",$L1066=""),$M1066&lt;&gt;0),$A1066=""),IFERROR(VLOOKUP($E1066,Selection!$E:$F,2,false)),IFERROR(VLOOKUP(SUBSTITUTE($I1066,"-","",1),$K1067:$Q1119,7,false),VLOOKUP($K1066,$K1067:$Q1119,7,false))))</f>
        <v/>
      </c>
      <c r="R1066" s="49" t="str">
        <f t="shared" si="2"/>
        <v/>
      </c>
      <c r="S1066" s="51" t="str">
        <f t="shared" si="3"/>
        <v/>
      </c>
      <c r="T1066" s="52" t="str">
        <f t="shared" si="4"/>
        <v/>
      </c>
      <c r="U1066" s="46" t="str">
        <f t="shared" si="5"/>
        <v/>
      </c>
      <c r="V1066" s="53" t="str">
        <f>IFERROR(__xludf.DUMMYFUNCTION(" IF(Account!$F1066&lt;&gt;"""", SPLIT(Account!$F1066, "" ""), """")"),"")</f>
        <v/>
      </c>
      <c r="W1066" s="54"/>
      <c r="X1066" s="54"/>
      <c r="Y1066" s="54"/>
      <c r="Z1066" s="54"/>
      <c r="AA1066" s="54"/>
      <c r="AB1066" s="54"/>
      <c r="AC1066" s="54"/>
      <c r="AD1066" s="54"/>
      <c r="AE1066" s="54"/>
      <c r="AF1066" s="54"/>
      <c r="AG1066" s="54"/>
      <c r="AH1066" s="54"/>
      <c r="AI1066" s="54"/>
      <c r="AJ1066" s="54"/>
    </row>
    <row r="1067">
      <c r="A1067" s="215"/>
      <c r="B1067" s="215"/>
      <c r="C1067" s="215"/>
      <c r="D1067" s="215"/>
      <c r="E1067" s="215"/>
      <c r="F1067" s="373"/>
      <c r="G1067" s="215"/>
      <c r="H1067" s="215"/>
      <c r="I1067" s="215"/>
      <c r="J1067" s="215"/>
      <c r="K1067" s="215"/>
      <c r="L1067" s="45" t="str">
        <f t="shared" si="1"/>
        <v/>
      </c>
      <c r="M1067" s="46" t="str">
        <f>IFERROR(__xludf.DUMMYFUNCTION("IF(Account!$F1067&lt;&gt;"""", VALUE(REGEXREPLACE($I1067, ""\,"", ""."")), """")"),"")</f>
        <v/>
      </c>
      <c r="N1067" s="47" t="str">
        <f>IF(Account!$F1067&lt;&gt;"", DATEVALUE(MID($A1067,4,3) &amp; LEFT($A1067,3) &amp; RIGHT($A1067,4)) + TIMEVALUE($B1067), "")</f>
        <v/>
      </c>
      <c r="O1067" s="48" t="str">
        <f>IF(Account!$F1067&lt;&gt;"", DATEVALUE(MID($A1067,4,3) &amp; LEFT($A1067,3) &amp; RIGHT($A1067,4)), "")</f>
        <v/>
      </c>
      <c r="P1067" s="49" t="str">
        <f>IFERROR(VLOOKUP($Q1067,Selection!$F:$G,2,false))</f>
        <v/>
      </c>
      <c r="Q1067" s="50" t="str">
        <f>IF(AND($X1067="change",$H1067="EUR"),IF(AND($Z1067="Crédit",$N1067=$N1068),$Q1068,IF(AND($Z1067="Débit",$N1067=$N1066),$Q1066)),IF(OR(AND(OR($E1067&lt;&gt;"",$L1067=""),$M1067&lt;&gt;0),$A1067=""),IFERROR(VLOOKUP($E1067,Selection!$E:$F,2,false)),IFERROR(VLOOKUP(SUBSTITUTE($I1067,"-","",1),$K1068:$Q1119,7,false),VLOOKUP($K1067,$K1068:$Q1119,7,false))))</f>
        <v/>
      </c>
      <c r="R1067" s="49" t="str">
        <f t="shared" si="2"/>
        <v/>
      </c>
      <c r="S1067" s="51" t="str">
        <f t="shared" si="3"/>
        <v/>
      </c>
      <c r="T1067" s="52" t="str">
        <f t="shared" si="4"/>
        <v/>
      </c>
      <c r="U1067" s="46" t="str">
        <f t="shared" si="5"/>
        <v/>
      </c>
      <c r="V1067" s="53" t="str">
        <f>IFERROR(__xludf.DUMMYFUNCTION(" IF(Account!$F1067&lt;&gt;"""", SPLIT(Account!$F1067, "" ""), """")"),"")</f>
        <v/>
      </c>
      <c r="W1067" s="54"/>
      <c r="X1067" s="54"/>
      <c r="Y1067" s="54"/>
      <c r="Z1067" s="54"/>
      <c r="AA1067" s="54"/>
      <c r="AB1067" s="54"/>
      <c r="AC1067" s="54"/>
      <c r="AD1067" s="54"/>
      <c r="AE1067" s="54"/>
      <c r="AF1067" s="54"/>
      <c r="AG1067" s="54"/>
      <c r="AH1067" s="54"/>
      <c r="AI1067" s="54"/>
      <c r="AJ1067" s="54"/>
    </row>
    <row r="1068">
      <c r="A1068" s="215"/>
      <c r="B1068" s="215"/>
      <c r="C1068" s="215"/>
      <c r="D1068" s="215"/>
      <c r="E1068" s="215"/>
      <c r="F1068" s="373"/>
      <c r="G1068" s="215"/>
      <c r="H1068" s="215"/>
      <c r="I1068" s="215"/>
      <c r="J1068" s="215"/>
      <c r="K1068" s="215"/>
      <c r="L1068" s="45" t="str">
        <f t="shared" si="1"/>
        <v/>
      </c>
      <c r="M1068" s="46" t="str">
        <f>IFERROR(__xludf.DUMMYFUNCTION("IF(Account!$F1068&lt;&gt;"""", VALUE(REGEXREPLACE($I1068, ""\,"", ""."")), """")"),"")</f>
        <v/>
      </c>
      <c r="N1068" s="47" t="str">
        <f>IF(Account!$F1068&lt;&gt;"", DATEVALUE(MID($A1068,4,3) &amp; LEFT($A1068,3) &amp; RIGHT($A1068,4)) + TIMEVALUE($B1068), "")</f>
        <v/>
      </c>
      <c r="O1068" s="48" t="str">
        <f>IF(Account!$F1068&lt;&gt;"", DATEVALUE(MID($A1068,4,3) &amp; LEFT($A1068,3) &amp; RIGHT($A1068,4)), "")</f>
        <v/>
      </c>
      <c r="P1068" s="49" t="str">
        <f>IFERROR(VLOOKUP($Q1068,Selection!$F:$G,2,false))</f>
        <v/>
      </c>
      <c r="Q1068" s="50" t="str">
        <f>IF(AND($X1068="change",$H1068="EUR"),IF(AND($Z1068="Crédit",$N1068=$N1069),$Q1069,IF(AND($Z1068="Débit",$N1068=$N1067),$Q1067)),IF(OR(AND(OR($E1068&lt;&gt;"",$L1068=""),$M1068&lt;&gt;0),$A1068=""),IFERROR(VLOOKUP($E1068,Selection!$E:$F,2,false)),IFERROR(VLOOKUP(SUBSTITUTE($I1068,"-","",1),$K1069:$Q1119,7,false),VLOOKUP($K1068,$K1069:$Q1119,7,false))))</f>
        <v/>
      </c>
      <c r="R1068" s="49" t="str">
        <f t="shared" si="2"/>
        <v/>
      </c>
      <c r="S1068" s="51" t="str">
        <f t="shared" si="3"/>
        <v/>
      </c>
      <c r="T1068" s="52" t="str">
        <f t="shared" si="4"/>
        <v/>
      </c>
      <c r="U1068" s="46" t="str">
        <f t="shared" si="5"/>
        <v/>
      </c>
      <c r="V1068" s="53" t="str">
        <f>IFERROR(__xludf.DUMMYFUNCTION(" IF(Account!$F1068&lt;&gt;"""", SPLIT(Account!$F1068, "" ""), """")"),"")</f>
        <v/>
      </c>
      <c r="W1068" s="54"/>
      <c r="X1068" s="54"/>
      <c r="Y1068" s="54"/>
      <c r="Z1068" s="54"/>
      <c r="AA1068" s="54"/>
      <c r="AB1068" s="54"/>
      <c r="AC1068" s="54"/>
      <c r="AD1068" s="54"/>
      <c r="AE1068" s="54"/>
      <c r="AF1068" s="54"/>
      <c r="AG1068" s="54"/>
      <c r="AH1068" s="54"/>
      <c r="AI1068" s="54"/>
      <c r="AJ1068" s="54"/>
    </row>
    <row r="1069">
      <c r="A1069" s="215"/>
      <c r="B1069" s="215"/>
      <c r="C1069" s="215"/>
      <c r="D1069" s="215"/>
      <c r="E1069" s="215"/>
      <c r="F1069" s="373"/>
      <c r="G1069" s="215"/>
      <c r="H1069" s="215"/>
      <c r="I1069" s="215"/>
      <c r="J1069" s="215"/>
      <c r="K1069" s="215"/>
      <c r="L1069" s="45" t="str">
        <f t="shared" si="1"/>
        <v/>
      </c>
      <c r="M1069" s="46" t="str">
        <f>IFERROR(__xludf.DUMMYFUNCTION("IF(Account!$F1069&lt;&gt;"""", VALUE(REGEXREPLACE($I1069, ""\,"", ""."")), """")"),"")</f>
        <v/>
      </c>
      <c r="N1069" s="47" t="str">
        <f>IF(Account!$F1069&lt;&gt;"", DATEVALUE(MID($A1069,4,3) &amp; LEFT($A1069,3) &amp; RIGHT($A1069,4)) + TIMEVALUE($B1069), "")</f>
        <v/>
      </c>
      <c r="O1069" s="48" t="str">
        <f>IF(Account!$F1069&lt;&gt;"", DATEVALUE(MID($A1069,4,3) &amp; LEFT($A1069,3) &amp; RIGHT($A1069,4)), "")</f>
        <v/>
      </c>
      <c r="P1069" s="49" t="str">
        <f>IFERROR(VLOOKUP($Q1069,Selection!$F:$G,2,false))</f>
        <v/>
      </c>
      <c r="Q1069" s="50" t="str">
        <f>IF(AND($X1069="change",$H1069="EUR"),IF(AND($Z1069="Crédit",$N1069=$N1070),$Q1070,IF(AND($Z1069="Débit",$N1069=$N1068),$Q1068)),IF(OR(AND(OR($E1069&lt;&gt;"",$L1069=""),$M1069&lt;&gt;0),$A1069=""),IFERROR(VLOOKUP($E1069,Selection!$E:$F,2,false)),IFERROR(VLOOKUP(SUBSTITUTE($I1069,"-","",1),$K1070:$Q1119,7,false),VLOOKUP($K1069,$K1070:$Q1119,7,false))))</f>
        <v/>
      </c>
      <c r="R1069" s="49" t="str">
        <f t="shared" si="2"/>
        <v/>
      </c>
      <c r="S1069" s="51" t="str">
        <f t="shared" si="3"/>
        <v/>
      </c>
      <c r="T1069" s="52" t="str">
        <f t="shared" si="4"/>
        <v/>
      </c>
      <c r="U1069" s="46" t="str">
        <f t="shared" si="5"/>
        <v/>
      </c>
      <c r="V1069" s="53" t="str">
        <f>IFERROR(__xludf.DUMMYFUNCTION(" IF(Account!$F1069&lt;&gt;"""", SPLIT(Account!$F1069, "" ""), """")"),"")</f>
        <v/>
      </c>
      <c r="W1069" s="54"/>
      <c r="X1069" s="54"/>
      <c r="Y1069" s="54"/>
      <c r="Z1069" s="54"/>
      <c r="AA1069" s="54"/>
      <c r="AB1069" s="54"/>
      <c r="AC1069" s="54"/>
      <c r="AD1069" s="54"/>
      <c r="AE1069" s="54"/>
      <c r="AF1069" s="54"/>
      <c r="AG1069" s="54"/>
      <c r="AH1069" s="54"/>
      <c r="AI1069" s="54"/>
      <c r="AJ1069" s="54"/>
    </row>
    <row r="1070">
      <c r="A1070" s="215"/>
      <c r="B1070" s="215"/>
      <c r="C1070" s="215"/>
      <c r="D1070" s="215"/>
      <c r="E1070" s="215"/>
      <c r="F1070" s="373"/>
      <c r="G1070" s="215"/>
      <c r="H1070" s="215"/>
      <c r="I1070" s="215"/>
      <c r="J1070" s="215"/>
      <c r="K1070" s="215"/>
      <c r="L1070" s="45" t="str">
        <f t="shared" si="1"/>
        <v/>
      </c>
      <c r="M1070" s="46" t="str">
        <f>IFERROR(__xludf.DUMMYFUNCTION("IF(Account!$F1070&lt;&gt;"""", VALUE(REGEXREPLACE($I1070, ""\,"", ""."")), """")"),"")</f>
        <v/>
      </c>
      <c r="N1070" s="47" t="str">
        <f>IF(Account!$F1070&lt;&gt;"", DATEVALUE(MID($A1070,4,3) &amp; LEFT($A1070,3) &amp; RIGHT($A1070,4)) + TIMEVALUE($B1070), "")</f>
        <v/>
      </c>
      <c r="O1070" s="48" t="str">
        <f>IF(Account!$F1070&lt;&gt;"", DATEVALUE(MID($A1070,4,3) &amp; LEFT($A1070,3) &amp; RIGHT($A1070,4)), "")</f>
        <v/>
      </c>
      <c r="P1070" s="49" t="str">
        <f>IFERROR(VLOOKUP($Q1070,Selection!$F:$G,2,false))</f>
        <v/>
      </c>
      <c r="Q1070" s="50" t="str">
        <f>IF(AND($X1070="change",$H1070="EUR"),IF(AND($Z1070="Crédit",$N1070=$N1071),$Q1071,IF(AND($Z1070="Débit",$N1070=$N1069),$Q1069)),IF(OR(AND(OR($E1070&lt;&gt;"",$L1070=""),$M1070&lt;&gt;0),$A1070=""),IFERROR(VLOOKUP($E1070,Selection!$E:$F,2,false)),IFERROR(VLOOKUP(SUBSTITUTE($I1070,"-","",1),$K1071:$Q1119,7,false),VLOOKUP($K1070,$K1071:$Q1119,7,false))))</f>
        <v/>
      </c>
      <c r="R1070" s="49" t="str">
        <f t="shared" si="2"/>
        <v/>
      </c>
      <c r="S1070" s="51" t="str">
        <f t="shared" si="3"/>
        <v/>
      </c>
      <c r="T1070" s="52" t="str">
        <f t="shared" si="4"/>
        <v/>
      </c>
      <c r="U1070" s="46" t="str">
        <f t="shared" si="5"/>
        <v/>
      </c>
      <c r="V1070" s="53" t="str">
        <f>IFERROR(__xludf.DUMMYFUNCTION(" IF(Account!$F1070&lt;&gt;"""", SPLIT(Account!$F1070, "" ""), """")"),"")</f>
        <v/>
      </c>
      <c r="W1070" s="54"/>
      <c r="X1070" s="54"/>
      <c r="Y1070" s="54"/>
      <c r="Z1070" s="54"/>
      <c r="AA1070" s="54"/>
      <c r="AB1070" s="54"/>
      <c r="AC1070" s="54"/>
      <c r="AD1070" s="54"/>
      <c r="AE1070" s="54"/>
      <c r="AF1070" s="54"/>
      <c r="AG1070" s="54"/>
      <c r="AH1070" s="54"/>
      <c r="AI1070" s="54"/>
      <c r="AJ1070" s="54"/>
    </row>
    <row r="1071">
      <c r="A1071" s="215"/>
      <c r="B1071" s="215"/>
      <c r="C1071" s="215"/>
      <c r="D1071" s="215"/>
      <c r="E1071" s="215"/>
      <c r="F1071" s="373"/>
      <c r="G1071" s="215"/>
      <c r="H1071" s="215"/>
      <c r="I1071" s="215"/>
      <c r="J1071" s="215"/>
      <c r="K1071" s="215"/>
      <c r="L1071" s="45" t="str">
        <f t="shared" si="1"/>
        <v/>
      </c>
      <c r="M1071" s="46" t="str">
        <f>IFERROR(__xludf.DUMMYFUNCTION("IF(Account!$F1071&lt;&gt;"""", VALUE(REGEXREPLACE($I1071, ""\,"", ""."")), """")"),"")</f>
        <v/>
      </c>
      <c r="N1071" s="47" t="str">
        <f>IF(Account!$F1071&lt;&gt;"", DATEVALUE(MID($A1071,4,3) &amp; LEFT($A1071,3) &amp; RIGHT($A1071,4)) + TIMEVALUE($B1071), "")</f>
        <v/>
      </c>
      <c r="O1071" s="48" t="str">
        <f>IF(Account!$F1071&lt;&gt;"", DATEVALUE(MID($A1071,4,3) &amp; LEFT($A1071,3) &amp; RIGHT($A1071,4)), "")</f>
        <v/>
      </c>
      <c r="P1071" s="49" t="str">
        <f>IFERROR(VLOOKUP($Q1071,Selection!$F:$G,2,false))</f>
        <v/>
      </c>
      <c r="Q1071" s="50" t="str">
        <f>IF(AND($X1071="change",$H1071="EUR"),IF(AND($Z1071="Crédit",$N1071=$N1072),$Q1072,IF(AND($Z1071="Débit",$N1071=$N1070),$Q1070)),IF(OR(AND(OR($E1071&lt;&gt;"",$L1071=""),$M1071&lt;&gt;0),$A1071=""),IFERROR(VLOOKUP($E1071,Selection!$E:$F,2,false)),IFERROR(VLOOKUP(SUBSTITUTE($I1071,"-","",1),$K1072:$Q1119,7,false),VLOOKUP($K1071,$K1072:$Q1119,7,false))))</f>
        <v/>
      </c>
      <c r="R1071" s="49" t="str">
        <f t="shared" si="2"/>
        <v/>
      </c>
      <c r="S1071" s="51" t="str">
        <f t="shared" si="3"/>
        <v/>
      </c>
      <c r="T1071" s="52" t="str">
        <f t="shared" si="4"/>
        <v/>
      </c>
      <c r="U1071" s="46" t="str">
        <f t="shared" si="5"/>
        <v/>
      </c>
      <c r="V1071" s="53" t="str">
        <f>IFERROR(__xludf.DUMMYFUNCTION(" IF(Account!$F1071&lt;&gt;"""", SPLIT(Account!$F1071, "" ""), """")"),"")</f>
        <v/>
      </c>
      <c r="W1071" s="54"/>
      <c r="X1071" s="54"/>
      <c r="Y1071" s="54"/>
      <c r="Z1071" s="54"/>
      <c r="AA1071" s="54"/>
      <c r="AB1071" s="54"/>
      <c r="AC1071" s="54"/>
      <c r="AD1071" s="54"/>
      <c r="AE1071" s="54"/>
      <c r="AF1071" s="54"/>
      <c r="AG1071" s="54"/>
      <c r="AH1071" s="54"/>
      <c r="AI1071" s="54"/>
      <c r="AJ1071" s="54"/>
    </row>
    <row r="1072">
      <c r="A1072" s="215"/>
      <c r="B1072" s="215"/>
      <c r="C1072" s="215"/>
      <c r="D1072" s="215"/>
      <c r="E1072" s="215"/>
      <c r="F1072" s="373"/>
      <c r="G1072" s="215"/>
      <c r="H1072" s="215"/>
      <c r="I1072" s="215"/>
      <c r="J1072" s="215"/>
      <c r="K1072" s="215"/>
      <c r="L1072" s="45" t="str">
        <f t="shared" si="1"/>
        <v/>
      </c>
      <c r="M1072" s="46" t="str">
        <f>IFERROR(__xludf.DUMMYFUNCTION("IF(Account!$F1072&lt;&gt;"""", VALUE(REGEXREPLACE($I1072, ""\,"", ""."")), """")"),"")</f>
        <v/>
      </c>
      <c r="N1072" s="47" t="str">
        <f>IF(Account!$F1072&lt;&gt;"", DATEVALUE(MID($A1072,4,3) &amp; LEFT($A1072,3) &amp; RIGHT($A1072,4)) + TIMEVALUE($B1072), "")</f>
        <v/>
      </c>
      <c r="O1072" s="48" t="str">
        <f>IF(Account!$F1072&lt;&gt;"", DATEVALUE(MID($A1072,4,3) &amp; LEFT($A1072,3) &amp; RIGHT($A1072,4)), "")</f>
        <v/>
      </c>
      <c r="P1072" s="49" t="str">
        <f>IFERROR(VLOOKUP($Q1072,Selection!$F:$G,2,false))</f>
        <v/>
      </c>
      <c r="Q1072" s="50" t="str">
        <f>IF(AND($X1072="change",$H1072="EUR"),IF(AND($Z1072="Crédit",$N1072=$N1073),$Q1073,IF(AND($Z1072="Débit",$N1072=$N1071),$Q1071)),IF(OR(AND(OR($E1072&lt;&gt;"",$L1072=""),$M1072&lt;&gt;0),$A1072=""),IFERROR(VLOOKUP($E1072,Selection!$E:$F,2,false)),IFERROR(VLOOKUP(SUBSTITUTE($I1072,"-","",1),$K1073:$Q1119,7,false),VLOOKUP($K1072,$K1073:$Q1119,7,false))))</f>
        <v/>
      </c>
      <c r="R1072" s="49" t="str">
        <f t="shared" si="2"/>
        <v/>
      </c>
      <c r="S1072" s="51" t="str">
        <f t="shared" si="3"/>
        <v/>
      </c>
      <c r="T1072" s="52" t="str">
        <f t="shared" si="4"/>
        <v/>
      </c>
      <c r="U1072" s="46" t="str">
        <f t="shared" si="5"/>
        <v/>
      </c>
      <c r="V1072" s="53" t="str">
        <f>IFERROR(__xludf.DUMMYFUNCTION(" IF(Account!$F1072&lt;&gt;"""", SPLIT(Account!$F1072, "" ""), """")"),"")</f>
        <v/>
      </c>
      <c r="W1072" s="54"/>
      <c r="X1072" s="54"/>
      <c r="Y1072" s="54"/>
      <c r="Z1072" s="54"/>
      <c r="AA1072" s="54"/>
      <c r="AB1072" s="54"/>
      <c r="AC1072" s="54"/>
      <c r="AD1072" s="54"/>
      <c r="AE1072" s="54"/>
      <c r="AF1072" s="54"/>
      <c r="AG1072" s="54"/>
      <c r="AH1072" s="54"/>
      <c r="AI1072" s="54"/>
      <c r="AJ1072" s="54"/>
    </row>
    <row r="1073">
      <c r="A1073" s="215"/>
      <c r="B1073" s="215"/>
      <c r="C1073" s="215"/>
      <c r="D1073" s="215"/>
      <c r="E1073" s="215"/>
      <c r="F1073" s="373"/>
      <c r="G1073" s="215"/>
      <c r="H1073" s="215"/>
      <c r="I1073" s="215"/>
      <c r="J1073" s="215"/>
      <c r="K1073" s="215"/>
      <c r="L1073" s="45" t="str">
        <f t="shared" si="1"/>
        <v/>
      </c>
      <c r="M1073" s="46" t="str">
        <f>IFERROR(__xludf.DUMMYFUNCTION("IF(Account!$F1073&lt;&gt;"""", VALUE(REGEXREPLACE($I1073, ""\,"", ""."")), """")"),"")</f>
        <v/>
      </c>
      <c r="N1073" s="47" t="str">
        <f>IF(Account!$F1073&lt;&gt;"", DATEVALUE(MID($A1073,4,3) &amp; LEFT($A1073,3) &amp; RIGHT($A1073,4)) + TIMEVALUE($B1073), "")</f>
        <v/>
      </c>
      <c r="O1073" s="48" t="str">
        <f>IF(Account!$F1073&lt;&gt;"", DATEVALUE(MID($A1073,4,3) &amp; LEFT($A1073,3) &amp; RIGHT($A1073,4)), "")</f>
        <v/>
      </c>
      <c r="P1073" s="49" t="str">
        <f>IFERROR(VLOOKUP($Q1073,Selection!$F:$G,2,false))</f>
        <v/>
      </c>
      <c r="Q1073" s="50" t="str">
        <f>IF(AND($X1073="change",$H1073="EUR"),IF(AND($Z1073="Crédit",$N1073=$N1074),$Q1074,IF(AND($Z1073="Débit",$N1073=$N1072),$Q1072)),IF(OR(AND(OR($E1073&lt;&gt;"",$L1073=""),$M1073&lt;&gt;0),$A1073=""),IFERROR(VLOOKUP($E1073,Selection!$E:$F,2,false)),IFERROR(VLOOKUP(SUBSTITUTE($I1073,"-","",1),$K1074:$Q1119,7,false),VLOOKUP($K1073,$K1074:$Q1119,7,false))))</f>
        <v/>
      </c>
      <c r="R1073" s="49" t="str">
        <f t="shared" si="2"/>
        <v/>
      </c>
      <c r="S1073" s="51" t="str">
        <f t="shared" si="3"/>
        <v/>
      </c>
      <c r="T1073" s="52" t="str">
        <f t="shared" si="4"/>
        <v/>
      </c>
      <c r="U1073" s="46" t="str">
        <f t="shared" si="5"/>
        <v/>
      </c>
      <c r="V1073" s="53" t="str">
        <f>IFERROR(__xludf.DUMMYFUNCTION(" IF(Account!$F1073&lt;&gt;"""", SPLIT(Account!$F1073, "" ""), """")"),"")</f>
        <v/>
      </c>
      <c r="W1073" s="54"/>
      <c r="X1073" s="54"/>
      <c r="Y1073" s="54"/>
      <c r="Z1073" s="54"/>
      <c r="AA1073" s="54"/>
      <c r="AB1073" s="54"/>
      <c r="AC1073" s="54"/>
      <c r="AD1073" s="54"/>
      <c r="AE1073" s="54"/>
      <c r="AF1073" s="54"/>
      <c r="AG1073" s="54"/>
      <c r="AH1073" s="54"/>
      <c r="AI1073" s="54"/>
      <c r="AJ1073" s="54"/>
    </row>
    <row r="1074">
      <c r="A1074" s="215"/>
      <c r="B1074" s="215"/>
      <c r="C1074" s="215"/>
      <c r="D1074" s="215"/>
      <c r="E1074" s="215"/>
      <c r="F1074" s="373"/>
      <c r="G1074" s="215"/>
      <c r="H1074" s="215"/>
      <c r="I1074" s="215"/>
      <c r="J1074" s="215"/>
      <c r="K1074" s="215"/>
      <c r="L1074" s="45" t="str">
        <f t="shared" si="1"/>
        <v/>
      </c>
      <c r="M1074" s="46" t="str">
        <f>IFERROR(__xludf.DUMMYFUNCTION("IF(Account!$F1074&lt;&gt;"""", VALUE(REGEXREPLACE($I1074, ""\,"", ""."")), """")"),"")</f>
        <v/>
      </c>
      <c r="N1074" s="47" t="str">
        <f>IF(Account!$F1074&lt;&gt;"", DATEVALUE(MID($A1074,4,3) &amp; LEFT($A1074,3) &amp; RIGHT($A1074,4)) + TIMEVALUE($B1074), "")</f>
        <v/>
      </c>
      <c r="O1074" s="48" t="str">
        <f>IF(Account!$F1074&lt;&gt;"", DATEVALUE(MID($A1074,4,3) &amp; LEFT($A1074,3) &amp; RIGHT($A1074,4)), "")</f>
        <v/>
      </c>
      <c r="P1074" s="49" t="str">
        <f>IFERROR(VLOOKUP($Q1074,Selection!$F:$G,2,false))</f>
        <v/>
      </c>
      <c r="Q1074" s="50" t="str">
        <f>IF(AND($X1074="change",$H1074="EUR"),IF(AND($Z1074="Crédit",$N1074=$N1075),$Q1075,IF(AND($Z1074="Débit",$N1074=$N1073),$Q1073)),IF(OR(AND(OR($E1074&lt;&gt;"",$L1074=""),$M1074&lt;&gt;0),$A1074=""),IFERROR(VLOOKUP($E1074,Selection!$E:$F,2,false)),IFERROR(VLOOKUP(SUBSTITUTE($I1074,"-","",1),$K1075:$Q1119,7,false),VLOOKUP($K1074,$K1075:$Q1119,7,false))))</f>
        <v/>
      </c>
      <c r="R1074" s="49" t="str">
        <f t="shared" si="2"/>
        <v/>
      </c>
      <c r="S1074" s="51" t="str">
        <f t="shared" si="3"/>
        <v/>
      </c>
      <c r="T1074" s="52" t="str">
        <f t="shared" si="4"/>
        <v/>
      </c>
      <c r="U1074" s="46" t="str">
        <f t="shared" si="5"/>
        <v/>
      </c>
      <c r="V1074" s="53" t="str">
        <f>IFERROR(__xludf.DUMMYFUNCTION(" IF(Account!$F1074&lt;&gt;"""", SPLIT(Account!$F1074, "" ""), """")"),"")</f>
        <v/>
      </c>
      <c r="W1074" s="54"/>
      <c r="X1074" s="54"/>
      <c r="Y1074" s="54"/>
      <c r="Z1074" s="54"/>
      <c r="AA1074" s="54"/>
      <c r="AB1074" s="54"/>
      <c r="AC1074" s="54"/>
      <c r="AD1074" s="54"/>
      <c r="AE1074" s="54"/>
      <c r="AF1074" s="54"/>
      <c r="AG1074" s="54"/>
      <c r="AH1074" s="54"/>
      <c r="AI1074" s="54"/>
      <c r="AJ1074" s="54"/>
    </row>
    <row r="1075">
      <c r="A1075" s="215"/>
      <c r="B1075" s="215"/>
      <c r="C1075" s="215"/>
      <c r="D1075" s="215"/>
      <c r="E1075" s="215"/>
      <c r="F1075" s="373"/>
      <c r="G1075" s="215"/>
      <c r="H1075" s="215"/>
      <c r="I1075" s="215"/>
      <c r="J1075" s="215"/>
      <c r="K1075" s="215"/>
      <c r="L1075" s="45" t="str">
        <f t="shared" si="1"/>
        <v/>
      </c>
      <c r="M1075" s="46" t="str">
        <f>IFERROR(__xludf.DUMMYFUNCTION("IF(Account!$F1075&lt;&gt;"""", VALUE(REGEXREPLACE($I1075, ""\,"", ""."")), """")"),"")</f>
        <v/>
      </c>
      <c r="N1075" s="47" t="str">
        <f>IF(Account!$F1075&lt;&gt;"", DATEVALUE(MID($A1075,4,3) &amp; LEFT($A1075,3) &amp; RIGHT($A1075,4)) + TIMEVALUE($B1075), "")</f>
        <v/>
      </c>
      <c r="O1075" s="48" t="str">
        <f>IF(Account!$F1075&lt;&gt;"", DATEVALUE(MID($A1075,4,3) &amp; LEFT($A1075,3) &amp; RIGHT($A1075,4)), "")</f>
        <v/>
      </c>
      <c r="P1075" s="49" t="str">
        <f>IFERROR(VLOOKUP($Q1075,Selection!$F:$G,2,false))</f>
        <v/>
      </c>
      <c r="Q1075" s="50" t="str">
        <f>IF(AND($X1075="change",$H1075="EUR"),IF(AND($Z1075="Crédit",$N1075=$N1076),$Q1076,IF(AND($Z1075="Débit",$N1075=$N1074),$Q1074)),IF(OR(AND(OR($E1075&lt;&gt;"",$L1075=""),$M1075&lt;&gt;0),$A1075=""),IFERROR(VLOOKUP($E1075,Selection!$E:$F,2,false)),IFERROR(VLOOKUP(SUBSTITUTE($I1075,"-","",1),$K1076:$Q1119,7,false),VLOOKUP($K1075,$K1076:$Q1119,7,false))))</f>
        <v/>
      </c>
      <c r="R1075" s="49" t="str">
        <f t="shared" si="2"/>
        <v/>
      </c>
      <c r="S1075" s="51" t="str">
        <f t="shared" si="3"/>
        <v/>
      </c>
      <c r="T1075" s="52" t="str">
        <f t="shared" si="4"/>
        <v/>
      </c>
      <c r="U1075" s="46" t="str">
        <f t="shared" si="5"/>
        <v/>
      </c>
      <c r="V1075" s="53" t="str">
        <f>IFERROR(__xludf.DUMMYFUNCTION(" IF(Account!$F1075&lt;&gt;"""", SPLIT(Account!$F1075, "" ""), """")"),"")</f>
        <v/>
      </c>
      <c r="W1075" s="54"/>
      <c r="X1075" s="54"/>
      <c r="Y1075" s="54"/>
      <c r="Z1075" s="54"/>
      <c r="AA1075" s="54"/>
      <c r="AB1075" s="54"/>
      <c r="AC1075" s="54"/>
      <c r="AD1075" s="54"/>
      <c r="AE1075" s="54"/>
      <c r="AF1075" s="54"/>
      <c r="AG1075" s="54"/>
      <c r="AH1075" s="54"/>
      <c r="AI1075" s="54"/>
      <c r="AJ1075" s="54"/>
    </row>
    <row r="1076">
      <c r="A1076" s="215"/>
      <c r="B1076" s="215"/>
      <c r="C1076" s="215"/>
      <c r="D1076" s="215"/>
      <c r="E1076" s="215"/>
      <c r="F1076" s="373"/>
      <c r="G1076" s="215"/>
      <c r="H1076" s="215"/>
      <c r="I1076" s="215"/>
      <c r="J1076" s="215"/>
      <c r="K1076" s="215"/>
      <c r="L1076" s="45" t="str">
        <f t="shared" si="1"/>
        <v/>
      </c>
      <c r="M1076" s="46" t="str">
        <f>IFERROR(__xludf.DUMMYFUNCTION("IF(Account!$F1076&lt;&gt;"""", VALUE(REGEXREPLACE($I1076, ""\,"", ""."")), """")"),"")</f>
        <v/>
      </c>
      <c r="N1076" s="47" t="str">
        <f>IF(Account!$F1076&lt;&gt;"", DATEVALUE(MID($A1076,4,3) &amp; LEFT($A1076,3) &amp; RIGHT($A1076,4)) + TIMEVALUE($B1076), "")</f>
        <v/>
      </c>
      <c r="O1076" s="48" t="str">
        <f>IF(Account!$F1076&lt;&gt;"", DATEVALUE(MID($A1076,4,3) &amp; LEFT($A1076,3) &amp; RIGHT($A1076,4)), "")</f>
        <v/>
      </c>
      <c r="P1076" s="49" t="str">
        <f>IFERROR(VLOOKUP($Q1076,Selection!$F:$G,2,false))</f>
        <v/>
      </c>
      <c r="Q1076" s="50" t="str">
        <f>IF(AND($X1076="change",$H1076="EUR"),IF(AND($Z1076="Crédit",$N1076=$N1077),$Q1077,IF(AND($Z1076="Débit",$N1076=$N1075),$Q1075)),IF(OR(AND(OR($E1076&lt;&gt;"",$L1076=""),$M1076&lt;&gt;0),$A1076=""),IFERROR(VLOOKUP($E1076,Selection!$E:$F,2,false)),IFERROR(VLOOKUP(SUBSTITUTE($I1076,"-","",1),$K1077:$Q1119,7,false),VLOOKUP($K1076,$K1077:$Q1119,7,false))))</f>
        <v/>
      </c>
      <c r="R1076" s="49" t="str">
        <f t="shared" si="2"/>
        <v/>
      </c>
      <c r="S1076" s="51" t="str">
        <f t="shared" si="3"/>
        <v/>
      </c>
      <c r="T1076" s="52" t="str">
        <f t="shared" si="4"/>
        <v/>
      </c>
      <c r="U1076" s="46" t="str">
        <f t="shared" si="5"/>
        <v/>
      </c>
      <c r="V1076" s="53" t="str">
        <f>IFERROR(__xludf.DUMMYFUNCTION(" IF(Account!$F1076&lt;&gt;"""", SPLIT(Account!$F1076, "" ""), """")"),"")</f>
        <v/>
      </c>
      <c r="W1076" s="54"/>
      <c r="X1076" s="54"/>
      <c r="Y1076" s="54"/>
      <c r="Z1076" s="54"/>
      <c r="AA1076" s="54"/>
      <c r="AB1076" s="54"/>
      <c r="AC1076" s="54"/>
      <c r="AD1076" s="54"/>
      <c r="AE1076" s="54"/>
      <c r="AF1076" s="54"/>
      <c r="AG1076" s="54"/>
      <c r="AH1076" s="54"/>
      <c r="AI1076" s="54"/>
      <c r="AJ1076" s="54"/>
    </row>
    <row r="1077">
      <c r="A1077" s="215"/>
      <c r="B1077" s="215"/>
      <c r="C1077" s="215"/>
      <c r="D1077" s="215"/>
      <c r="E1077" s="215"/>
      <c r="F1077" s="373"/>
      <c r="G1077" s="215"/>
      <c r="H1077" s="215"/>
      <c r="I1077" s="215"/>
      <c r="J1077" s="215"/>
      <c r="K1077" s="215"/>
      <c r="L1077" s="45" t="str">
        <f t="shared" si="1"/>
        <v/>
      </c>
      <c r="M1077" s="46" t="str">
        <f>IFERROR(__xludf.DUMMYFUNCTION("IF(Account!$F1077&lt;&gt;"""", VALUE(REGEXREPLACE($I1077, ""\,"", ""."")), """")"),"")</f>
        <v/>
      </c>
      <c r="N1077" s="47" t="str">
        <f>IF(Account!$F1077&lt;&gt;"", DATEVALUE(MID($A1077,4,3) &amp; LEFT($A1077,3) &amp; RIGHT($A1077,4)) + TIMEVALUE($B1077), "")</f>
        <v/>
      </c>
      <c r="O1077" s="48" t="str">
        <f>IF(Account!$F1077&lt;&gt;"", DATEVALUE(MID($A1077,4,3) &amp; LEFT($A1077,3) &amp; RIGHT($A1077,4)), "")</f>
        <v/>
      </c>
      <c r="P1077" s="49" t="str">
        <f>IFERROR(VLOOKUP($Q1077,Selection!$F:$G,2,false))</f>
        <v/>
      </c>
      <c r="Q1077" s="50" t="str">
        <f>IF(AND($X1077="change",$H1077="EUR"),IF(AND($Z1077="Crédit",$N1077=$N1078),$Q1078,IF(AND($Z1077="Débit",$N1077=$N1076),$Q1076)),IF(OR(AND(OR($E1077&lt;&gt;"",$L1077=""),$M1077&lt;&gt;0),$A1077=""),IFERROR(VLOOKUP($E1077,Selection!$E:$F,2,false)),IFERROR(VLOOKUP(SUBSTITUTE($I1077,"-","",1),$K1078:$Q1119,7,false),VLOOKUP($K1077,$K1078:$Q1119,7,false))))</f>
        <v/>
      </c>
      <c r="R1077" s="49" t="str">
        <f t="shared" si="2"/>
        <v/>
      </c>
      <c r="S1077" s="51" t="str">
        <f t="shared" si="3"/>
        <v/>
      </c>
      <c r="T1077" s="52" t="str">
        <f t="shared" si="4"/>
        <v/>
      </c>
      <c r="U1077" s="46" t="str">
        <f t="shared" si="5"/>
        <v/>
      </c>
      <c r="V1077" s="53" t="str">
        <f>IFERROR(__xludf.DUMMYFUNCTION(" IF(Account!$F1077&lt;&gt;"""", SPLIT(Account!$F1077, "" ""), """")"),"")</f>
        <v/>
      </c>
      <c r="W1077" s="54"/>
      <c r="X1077" s="54"/>
      <c r="Y1077" s="54"/>
      <c r="Z1077" s="54"/>
      <c r="AA1077" s="54"/>
      <c r="AB1077" s="54"/>
      <c r="AC1077" s="54"/>
      <c r="AD1077" s="54"/>
      <c r="AE1077" s="54"/>
      <c r="AF1077" s="54"/>
      <c r="AG1077" s="54"/>
      <c r="AH1077" s="54"/>
      <c r="AI1077" s="54"/>
      <c r="AJ1077" s="54"/>
    </row>
    <row r="1078">
      <c r="A1078" s="215"/>
      <c r="B1078" s="215"/>
      <c r="C1078" s="215"/>
      <c r="D1078" s="215"/>
      <c r="E1078" s="215"/>
      <c r="F1078" s="373"/>
      <c r="G1078" s="215"/>
      <c r="H1078" s="215"/>
      <c r="I1078" s="215"/>
      <c r="J1078" s="215"/>
      <c r="K1078" s="215"/>
      <c r="L1078" s="45" t="str">
        <f t="shared" si="1"/>
        <v/>
      </c>
      <c r="M1078" s="46" t="str">
        <f>IFERROR(__xludf.DUMMYFUNCTION("IF(Account!$F1078&lt;&gt;"""", VALUE(REGEXREPLACE($I1078, ""\,"", ""."")), """")"),"")</f>
        <v/>
      </c>
      <c r="N1078" s="47" t="str">
        <f>IF(Account!$F1078&lt;&gt;"", DATEVALUE(MID($A1078,4,3) &amp; LEFT($A1078,3) &amp; RIGHT($A1078,4)) + TIMEVALUE($B1078), "")</f>
        <v/>
      </c>
      <c r="O1078" s="48" t="str">
        <f>IF(Account!$F1078&lt;&gt;"", DATEVALUE(MID($A1078,4,3) &amp; LEFT($A1078,3) &amp; RIGHT($A1078,4)), "")</f>
        <v/>
      </c>
      <c r="P1078" s="49" t="str">
        <f>IFERROR(VLOOKUP($Q1078,Selection!$F:$G,2,false))</f>
        <v/>
      </c>
      <c r="Q1078" s="50" t="str">
        <f>IF(AND($X1078="change",$H1078="EUR"),IF(AND($Z1078="Crédit",$N1078=$N1079),$Q1079,IF(AND($Z1078="Débit",$N1078=$N1077),$Q1077)),IF(OR(AND(OR($E1078&lt;&gt;"",$L1078=""),$M1078&lt;&gt;0),$A1078=""),IFERROR(VLOOKUP($E1078,Selection!$E:$F,2,false)),IFERROR(VLOOKUP(SUBSTITUTE($I1078,"-","",1),$K1079:$Q1119,7,false),VLOOKUP($K1078,$K1079:$Q1119,7,false))))</f>
        <v/>
      </c>
      <c r="R1078" s="49" t="str">
        <f t="shared" si="2"/>
        <v/>
      </c>
      <c r="S1078" s="51" t="str">
        <f t="shared" si="3"/>
        <v/>
      </c>
      <c r="T1078" s="52" t="str">
        <f t="shared" si="4"/>
        <v/>
      </c>
      <c r="U1078" s="46" t="str">
        <f t="shared" si="5"/>
        <v/>
      </c>
      <c r="V1078" s="53" t="str">
        <f>IFERROR(__xludf.DUMMYFUNCTION(" IF(Account!$F1078&lt;&gt;"""", SPLIT(Account!$F1078, "" ""), """")"),"")</f>
        <v/>
      </c>
      <c r="W1078" s="54"/>
      <c r="X1078" s="54"/>
      <c r="Y1078" s="54"/>
      <c r="Z1078" s="54"/>
      <c r="AA1078" s="54"/>
      <c r="AB1078" s="54"/>
      <c r="AC1078" s="54"/>
      <c r="AD1078" s="54"/>
      <c r="AE1078" s="54"/>
      <c r="AF1078" s="54"/>
      <c r="AG1078" s="54"/>
      <c r="AH1078" s="54"/>
      <c r="AI1078" s="54"/>
      <c r="AJ1078" s="54"/>
    </row>
    <row r="1079">
      <c r="A1079" s="215"/>
      <c r="B1079" s="215"/>
      <c r="C1079" s="215"/>
      <c r="D1079" s="215"/>
      <c r="E1079" s="215"/>
      <c r="F1079" s="373"/>
      <c r="G1079" s="215"/>
      <c r="H1079" s="215"/>
      <c r="I1079" s="215"/>
      <c r="J1079" s="215"/>
      <c r="K1079" s="215"/>
      <c r="L1079" s="45" t="str">
        <f t="shared" si="1"/>
        <v/>
      </c>
      <c r="M1079" s="46" t="str">
        <f>IFERROR(__xludf.DUMMYFUNCTION("IF(Account!$F1079&lt;&gt;"""", VALUE(REGEXREPLACE($I1079, ""\,"", ""."")), """")"),"")</f>
        <v/>
      </c>
      <c r="N1079" s="47" t="str">
        <f>IF(Account!$F1079&lt;&gt;"", DATEVALUE(MID($A1079,4,3) &amp; LEFT($A1079,3) &amp; RIGHT($A1079,4)) + TIMEVALUE($B1079), "")</f>
        <v/>
      </c>
      <c r="O1079" s="48" t="str">
        <f>IF(Account!$F1079&lt;&gt;"", DATEVALUE(MID($A1079,4,3) &amp; LEFT($A1079,3) &amp; RIGHT($A1079,4)), "")</f>
        <v/>
      </c>
      <c r="P1079" s="49" t="str">
        <f>IFERROR(VLOOKUP($Q1079,Selection!$F:$G,2,false))</f>
        <v/>
      </c>
      <c r="Q1079" s="50" t="str">
        <f>IF(AND($X1079="change",$H1079="EUR"),IF(AND($Z1079="Crédit",$N1079=$N1080),$Q1080,IF(AND($Z1079="Débit",$N1079=$N1078),$Q1078)),IF(OR(AND(OR($E1079&lt;&gt;"",$L1079=""),$M1079&lt;&gt;0),$A1079=""),IFERROR(VLOOKUP($E1079,Selection!$E:$F,2,false)),IFERROR(VLOOKUP(SUBSTITUTE($I1079,"-","",1),$K1080:$Q1119,7,false),VLOOKUP($K1079,$K1080:$Q1119,7,false))))</f>
        <v/>
      </c>
      <c r="R1079" s="49" t="str">
        <f t="shared" si="2"/>
        <v/>
      </c>
      <c r="S1079" s="51" t="str">
        <f t="shared" si="3"/>
        <v/>
      </c>
      <c r="T1079" s="52" t="str">
        <f t="shared" si="4"/>
        <v/>
      </c>
      <c r="U1079" s="46" t="str">
        <f t="shared" si="5"/>
        <v/>
      </c>
      <c r="V1079" s="53" t="str">
        <f>IFERROR(__xludf.DUMMYFUNCTION(" IF(Account!$F1079&lt;&gt;"""", SPLIT(Account!$F1079, "" ""), """")"),"")</f>
        <v/>
      </c>
      <c r="W1079" s="54"/>
      <c r="X1079" s="54"/>
      <c r="Y1079" s="54"/>
      <c r="Z1079" s="54"/>
      <c r="AA1079" s="54"/>
      <c r="AB1079" s="54"/>
      <c r="AC1079" s="54"/>
      <c r="AD1079" s="54"/>
      <c r="AE1079" s="54"/>
      <c r="AF1079" s="54"/>
      <c r="AG1079" s="54"/>
      <c r="AH1079" s="54"/>
      <c r="AI1079" s="54"/>
      <c r="AJ1079" s="54"/>
    </row>
    <row r="1080">
      <c r="A1080" s="215"/>
      <c r="B1080" s="215"/>
      <c r="C1080" s="215"/>
      <c r="D1080" s="215"/>
      <c r="E1080" s="215"/>
      <c r="F1080" s="373"/>
      <c r="G1080" s="215"/>
      <c r="H1080" s="215"/>
      <c r="I1080" s="215"/>
      <c r="J1080" s="215"/>
      <c r="K1080" s="215"/>
      <c r="L1080" s="45" t="str">
        <f t="shared" si="1"/>
        <v/>
      </c>
      <c r="M1080" s="46" t="str">
        <f>IFERROR(__xludf.DUMMYFUNCTION("IF(Account!$F1080&lt;&gt;"""", VALUE(REGEXREPLACE($I1080, ""\,"", ""."")), """")"),"")</f>
        <v/>
      </c>
      <c r="N1080" s="47" t="str">
        <f>IF(Account!$F1080&lt;&gt;"", DATEVALUE(MID($A1080,4,3) &amp; LEFT($A1080,3) &amp; RIGHT($A1080,4)) + TIMEVALUE($B1080), "")</f>
        <v/>
      </c>
      <c r="O1080" s="48" t="str">
        <f>IF(Account!$F1080&lt;&gt;"", DATEVALUE(MID($A1080,4,3) &amp; LEFT($A1080,3) &amp; RIGHT($A1080,4)), "")</f>
        <v/>
      </c>
      <c r="P1080" s="49" t="str">
        <f>IFERROR(VLOOKUP($Q1080,Selection!$F:$G,2,false))</f>
        <v/>
      </c>
      <c r="Q1080" s="50" t="str">
        <f>IF(AND($X1080="change",$H1080="EUR"),IF(AND($Z1080="Crédit",$N1080=$N1081),$Q1081,IF(AND($Z1080="Débit",$N1080=$N1079),$Q1079)),IF(OR(AND(OR($E1080&lt;&gt;"",$L1080=""),$M1080&lt;&gt;0),$A1080=""),IFERROR(VLOOKUP($E1080,Selection!$E:$F,2,false)),IFERROR(VLOOKUP(SUBSTITUTE($I1080,"-","",1),$K1081:$Q1119,7,false),VLOOKUP($K1080,$K1081:$Q1119,7,false))))</f>
        <v/>
      </c>
      <c r="R1080" s="49" t="str">
        <f t="shared" si="2"/>
        <v/>
      </c>
      <c r="S1080" s="51" t="str">
        <f t="shared" si="3"/>
        <v/>
      </c>
      <c r="T1080" s="52" t="str">
        <f t="shared" si="4"/>
        <v/>
      </c>
      <c r="U1080" s="46" t="str">
        <f t="shared" si="5"/>
        <v/>
      </c>
      <c r="V1080" s="53" t="str">
        <f>IFERROR(__xludf.DUMMYFUNCTION(" IF(Account!$F1080&lt;&gt;"""", SPLIT(Account!$F1080, "" ""), """")"),"")</f>
        <v/>
      </c>
      <c r="W1080" s="54"/>
      <c r="X1080" s="54"/>
      <c r="Y1080" s="54"/>
      <c r="Z1080" s="54"/>
      <c r="AA1080" s="54"/>
      <c r="AB1080" s="54"/>
      <c r="AC1080" s="54"/>
      <c r="AD1080" s="54"/>
      <c r="AE1080" s="54"/>
      <c r="AF1080" s="54"/>
      <c r="AG1080" s="54"/>
      <c r="AH1080" s="54"/>
      <c r="AI1080" s="54"/>
      <c r="AJ1080" s="54"/>
    </row>
    <row r="1081">
      <c r="A1081" s="215"/>
      <c r="B1081" s="215"/>
      <c r="C1081" s="215"/>
      <c r="D1081" s="215"/>
      <c r="E1081" s="215"/>
      <c r="F1081" s="373"/>
      <c r="G1081" s="215"/>
      <c r="H1081" s="215"/>
      <c r="I1081" s="215"/>
      <c r="J1081" s="215"/>
      <c r="K1081" s="215"/>
      <c r="L1081" s="45" t="str">
        <f t="shared" si="1"/>
        <v/>
      </c>
      <c r="M1081" s="46" t="str">
        <f>IFERROR(__xludf.DUMMYFUNCTION("IF(Account!$F1081&lt;&gt;"""", VALUE(REGEXREPLACE($I1081, ""\,"", ""."")), """")"),"")</f>
        <v/>
      </c>
      <c r="N1081" s="47" t="str">
        <f>IF(Account!$F1081&lt;&gt;"", DATEVALUE(MID($A1081,4,3) &amp; LEFT($A1081,3) &amp; RIGHT($A1081,4)) + TIMEVALUE($B1081), "")</f>
        <v/>
      </c>
      <c r="O1081" s="48" t="str">
        <f>IF(Account!$F1081&lt;&gt;"", DATEVALUE(MID($A1081,4,3) &amp; LEFT($A1081,3) &amp; RIGHT($A1081,4)), "")</f>
        <v/>
      </c>
      <c r="P1081" s="49" t="str">
        <f>IFERROR(VLOOKUP($Q1081,Selection!$F:$G,2,false))</f>
        <v/>
      </c>
      <c r="Q1081" s="50" t="str">
        <f>IF(AND($X1081="change",$H1081="EUR"),IF(AND($Z1081="Crédit",$N1081=$N1082),$Q1082,IF(AND($Z1081="Débit",$N1081=$N1080),$Q1080)),IF(OR(AND(OR($E1081&lt;&gt;"",$L1081=""),$M1081&lt;&gt;0),$A1081=""),IFERROR(VLOOKUP($E1081,Selection!$E:$F,2,false)),IFERROR(VLOOKUP(SUBSTITUTE($I1081,"-","",1),$K1082:$Q1119,7,false),VLOOKUP($K1081,$K1082:$Q1119,7,false))))</f>
        <v/>
      </c>
      <c r="R1081" s="49" t="str">
        <f t="shared" si="2"/>
        <v/>
      </c>
      <c r="S1081" s="51" t="str">
        <f t="shared" si="3"/>
        <v/>
      </c>
      <c r="T1081" s="52" t="str">
        <f t="shared" si="4"/>
        <v/>
      </c>
      <c r="U1081" s="46" t="str">
        <f t="shared" si="5"/>
        <v/>
      </c>
      <c r="V1081" s="53" t="str">
        <f>IFERROR(__xludf.DUMMYFUNCTION(" IF(Account!$F1081&lt;&gt;"""", SPLIT(Account!$F1081, "" ""), """")"),"")</f>
        <v/>
      </c>
      <c r="W1081" s="54"/>
      <c r="X1081" s="54"/>
      <c r="Y1081" s="54"/>
      <c r="Z1081" s="54"/>
      <c r="AA1081" s="54"/>
      <c r="AB1081" s="54"/>
      <c r="AC1081" s="54"/>
      <c r="AD1081" s="54"/>
      <c r="AE1081" s="54"/>
      <c r="AF1081" s="54"/>
      <c r="AG1081" s="54"/>
      <c r="AH1081" s="54"/>
      <c r="AI1081" s="54"/>
      <c r="AJ1081" s="54"/>
    </row>
    <row r="1082">
      <c r="A1082" s="215"/>
      <c r="B1082" s="215"/>
      <c r="C1082" s="215"/>
      <c r="D1082" s="215"/>
      <c r="E1082" s="215"/>
      <c r="F1082" s="373"/>
      <c r="G1082" s="215"/>
      <c r="H1082" s="215"/>
      <c r="I1082" s="215"/>
      <c r="J1082" s="215"/>
      <c r="K1082" s="215"/>
      <c r="L1082" s="45" t="str">
        <f t="shared" si="1"/>
        <v/>
      </c>
      <c r="M1082" s="46" t="str">
        <f>IFERROR(__xludf.DUMMYFUNCTION("IF(Account!$F1082&lt;&gt;"""", VALUE(REGEXREPLACE($I1082, ""\,"", ""."")), """")"),"")</f>
        <v/>
      </c>
      <c r="N1082" s="47" t="str">
        <f>IF(Account!$F1082&lt;&gt;"", DATEVALUE(MID($A1082,4,3) &amp; LEFT($A1082,3) &amp; RIGHT($A1082,4)) + TIMEVALUE($B1082), "")</f>
        <v/>
      </c>
      <c r="O1082" s="48" t="str">
        <f>IF(Account!$F1082&lt;&gt;"", DATEVALUE(MID($A1082,4,3) &amp; LEFT($A1082,3) &amp; RIGHT($A1082,4)), "")</f>
        <v/>
      </c>
      <c r="P1082" s="49" t="str">
        <f>IFERROR(VLOOKUP($Q1082,Selection!$F:$G,2,false))</f>
        <v/>
      </c>
      <c r="Q1082" s="50" t="str">
        <f>IF(AND($X1082="change",$H1082="EUR"),IF(AND($Z1082="Crédit",$N1082=$N1083),$Q1083,IF(AND($Z1082="Débit",$N1082=$N1081),$Q1081)),IF(OR(AND(OR($E1082&lt;&gt;"",$L1082=""),$M1082&lt;&gt;0),$A1082=""),IFERROR(VLOOKUP($E1082,Selection!$E:$F,2,false)),IFERROR(VLOOKUP(SUBSTITUTE($I1082,"-","",1),$K1083:$Q1119,7,false),VLOOKUP($K1082,$K1083:$Q1119,7,false))))</f>
        <v/>
      </c>
      <c r="R1082" s="49" t="str">
        <f t="shared" si="2"/>
        <v/>
      </c>
      <c r="S1082" s="51" t="str">
        <f t="shared" si="3"/>
        <v/>
      </c>
      <c r="T1082" s="52" t="str">
        <f t="shared" si="4"/>
        <v/>
      </c>
      <c r="U1082" s="46" t="str">
        <f t="shared" si="5"/>
        <v/>
      </c>
      <c r="V1082" s="53" t="str">
        <f>IFERROR(__xludf.DUMMYFUNCTION(" IF(Account!$F1082&lt;&gt;"""", SPLIT(Account!$F1082, "" ""), """")"),"")</f>
        <v/>
      </c>
      <c r="W1082" s="54"/>
      <c r="X1082" s="54"/>
      <c r="Y1082" s="54"/>
      <c r="Z1082" s="54"/>
      <c r="AA1082" s="54"/>
      <c r="AB1082" s="54"/>
      <c r="AC1082" s="54"/>
      <c r="AD1082" s="54"/>
      <c r="AE1082" s="54"/>
      <c r="AF1082" s="54"/>
      <c r="AG1082" s="54"/>
      <c r="AH1082" s="54"/>
      <c r="AI1082" s="54"/>
      <c r="AJ1082" s="54"/>
    </row>
    <row r="1083">
      <c r="A1083" s="215"/>
      <c r="B1083" s="215"/>
      <c r="C1083" s="215"/>
      <c r="D1083" s="215"/>
      <c r="E1083" s="215"/>
      <c r="F1083" s="373"/>
      <c r="G1083" s="215"/>
      <c r="H1083" s="215"/>
      <c r="I1083" s="215"/>
      <c r="J1083" s="215"/>
      <c r="K1083" s="215"/>
      <c r="L1083" s="45" t="str">
        <f t="shared" si="1"/>
        <v/>
      </c>
      <c r="M1083" s="46" t="str">
        <f>IFERROR(__xludf.DUMMYFUNCTION("IF(Account!$F1083&lt;&gt;"""", VALUE(REGEXREPLACE($I1083, ""\,"", ""."")), """")"),"")</f>
        <v/>
      </c>
      <c r="N1083" s="47" t="str">
        <f>IF(Account!$F1083&lt;&gt;"", DATEVALUE(MID($A1083,4,3) &amp; LEFT($A1083,3) &amp; RIGHT($A1083,4)) + TIMEVALUE($B1083), "")</f>
        <v/>
      </c>
      <c r="O1083" s="48" t="str">
        <f>IF(Account!$F1083&lt;&gt;"", DATEVALUE(MID($A1083,4,3) &amp; LEFT($A1083,3) &amp; RIGHT($A1083,4)), "")</f>
        <v/>
      </c>
      <c r="P1083" s="49" t="str">
        <f>IFERROR(VLOOKUP($Q1083,Selection!$F:$G,2,false))</f>
        <v/>
      </c>
      <c r="Q1083" s="50" t="str">
        <f>IF(AND($X1083="change",$H1083="EUR"),IF(AND($Z1083="Crédit",$N1083=$N1084),$Q1084,IF(AND($Z1083="Débit",$N1083=$N1082),$Q1082)),IF(OR(AND(OR($E1083&lt;&gt;"",$L1083=""),$M1083&lt;&gt;0),$A1083=""),IFERROR(VLOOKUP($E1083,Selection!$E:$F,2,false)),IFERROR(VLOOKUP(SUBSTITUTE($I1083,"-","",1),$K1084:$Q1119,7,false),VLOOKUP($K1083,$K1084:$Q1119,7,false))))</f>
        <v/>
      </c>
      <c r="R1083" s="49" t="str">
        <f t="shared" si="2"/>
        <v/>
      </c>
      <c r="S1083" s="51" t="str">
        <f t="shared" si="3"/>
        <v/>
      </c>
      <c r="T1083" s="52" t="str">
        <f t="shared" si="4"/>
        <v/>
      </c>
      <c r="U1083" s="46" t="str">
        <f t="shared" si="5"/>
        <v/>
      </c>
      <c r="V1083" s="53" t="str">
        <f>IFERROR(__xludf.DUMMYFUNCTION(" IF(Account!$F1083&lt;&gt;"""", SPLIT(Account!$F1083, "" ""), """")"),"")</f>
        <v/>
      </c>
      <c r="W1083" s="54"/>
      <c r="X1083" s="54"/>
      <c r="Y1083" s="54"/>
      <c r="Z1083" s="54"/>
      <c r="AA1083" s="54"/>
      <c r="AB1083" s="54"/>
      <c r="AC1083" s="54"/>
      <c r="AD1083" s="54"/>
      <c r="AE1083" s="54"/>
      <c r="AF1083" s="54"/>
      <c r="AG1083" s="54"/>
      <c r="AH1083" s="54"/>
      <c r="AI1083" s="54"/>
      <c r="AJ1083" s="54"/>
    </row>
    <row r="1084">
      <c r="A1084" s="215"/>
      <c r="B1084" s="215"/>
      <c r="C1084" s="215"/>
      <c r="D1084" s="215"/>
      <c r="E1084" s="215"/>
      <c r="F1084" s="373"/>
      <c r="G1084" s="215"/>
      <c r="H1084" s="215"/>
      <c r="I1084" s="215"/>
      <c r="J1084" s="215"/>
      <c r="K1084" s="215"/>
      <c r="L1084" s="45" t="str">
        <f t="shared" si="1"/>
        <v/>
      </c>
      <c r="M1084" s="46" t="str">
        <f>IFERROR(__xludf.DUMMYFUNCTION("IF(Account!$F1084&lt;&gt;"""", VALUE(REGEXREPLACE($I1084, ""\,"", ""."")), """")"),"")</f>
        <v/>
      </c>
      <c r="N1084" s="47" t="str">
        <f>IF(Account!$F1084&lt;&gt;"", DATEVALUE(MID($A1084,4,3) &amp; LEFT($A1084,3) &amp; RIGHT($A1084,4)) + TIMEVALUE($B1084), "")</f>
        <v/>
      </c>
      <c r="O1084" s="48" t="str">
        <f>IF(Account!$F1084&lt;&gt;"", DATEVALUE(MID($A1084,4,3) &amp; LEFT($A1084,3) &amp; RIGHT($A1084,4)), "")</f>
        <v/>
      </c>
      <c r="P1084" s="49" t="str">
        <f>IFERROR(VLOOKUP($Q1084,Selection!$F:$G,2,false))</f>
        <v/>
      </c>
      <c r="Q1084" s="50" t="str">
        <f>IF(AND($X1084="change",$H1084="EUR"),IF(AND($Z1084="Crédit",$N1084=$N1085),$Q1085,IF(AND($Z1084="Débit",$N1084=$N1083),$Q1083)),IF(OR(AND(OR($E1084&lt;&gt;"",$L1084=""),$M1084&lt;&gt;0),$A1084=""),IFERROR(VLOOKUP($E1084,Selection!$E:$F,2,false)),IFERROR(VLOOKUP(SUBSTITUTE($I1084,"-","",1),$K1085:$Q1119,7,false),VLOOKUP($K1084,$K1085:$Q1119,7,false))))</f>
        <v/>
      </c>
      <c r="R1084" s="49" t="str">
        <f t="shared" si="2"/>
        <v/>
      </c>
      <c r="S1084" s="51" t="str">
        <f t="shared" si="3"/>
        <v/>
      </c>
      <c r="T1084" s="52" t="str">
        <f t="shared" si="4"/>
        <v/>
      </c>
      <c r="U1084" s="46" t="str">
        <f t="shared" si="5"/>
        <v/>
      </c>
      <c r="V1084" s="53" t="str">
        <f>IFERROR(__xludf.DUMMYFUNCTION(" IF(Account!$F1084&lt;&gt;"""", SPLIT(Account!$F1084, "" ""), """")"),"")</f>
        <v/>
      </c>
      <c r="W1084" s="54"/>
      <c r="X1084" s="54"/>
      <c r="Y1084" s="54"/>
      <c r="Z1084" s="54"/>
      <c r="AA1084" s="54"/>
      <c r="AB1084" s="54"/>
      <c r="AC1084" s="54"/>
      <c r="AD1084" s="54"/>
      <c r="AE1084" s="54"/>
      <c r="AF1084" s="54"/>
      <c r="AG1084" s="54"/>
      <c r="AH1084" s="54"/>
      <c r="AI1084" s="54"/>
      <c r="AJ1084" s="54"/>
    </row>
    <row r="1085">
      <c r="A1085" s="215"/>
      <c r="B1085" s="215"/>
      <c r="C1085" s="215"/>
      <c r="D1085" s="215"/>
      <c r="E1085" s="215"/>
      <c r="F1085" s="373"/>
      <c r="G1085" s="215"/>
      <c r="H1085" s="215"/>
      <c r="I1085" s="215"/>
      <c r="J1085" s="215"/>
      <c r="K1085" s="215"/>
      <c r="L1085" s="45" t="str">
        <f t="shared" si="1"/>
        <v/>
      </c>
      <c r="M1085" s="46" t="str">
        <f>IFERROR(__xludf.DUMMYFUNCTION("IF(Account!$F1085&lt;&gt;"""", VALUE(REGEXREPLACE($I1085, ""\,"", ""."")), """")"),"")</f>
        <v/>
      </c>
      <c r="N1085" s="47" t="str">
        <f>IF(Account!$F1085&lt;&gt;"", DATEVALUE(MID($A1085,4,3) &amp; LEFT($A1085,3) &amp; RIGHT($A1085,4)) + TIMEVALUE($B1085), "")</f>
        <v/>
      </c>
      <c r="O1085" s="48" t="str">
        <f>IF(Account!$F1085&lt;&gt;"", DATEVALUE(MID($A1085,4,3) &amp; LEFT($A1085,3) &amp; RIGHT($A1085,4)), "")</f>
        <v/>
      </c>
      <c r="P1085" s="49" t="str">
        <f>IFERROR(VLOOKUP($Q1085,Selection!$F:$G,2,false))</f>
        <v/>
      </c>
      <c r="Q1085" s="50" t="str">
        <f>IF(AND($X1085="change",$H1085="EUR"),IF(AND($Z1085="Crédit",$N1085=$N1086),$Q1086,IF(AND($Z1085="Débit",$N1085=$N1084),$Q1084)),IF(OR(AND(OR($E1085&lt;&gt;"",$L1085=""),$M1085&lt;&gt;0),$A1085=""),IFERROR(VLOOKUP($E1085,Selection!$E:$F,2,false)),IFERROR(VLOOKUP(SUBSTITUTE($I1085,"-","",1),$K1086:$Q1119,7,false),VLOOKUP($K1085,$K1086:$Q1119,7,false))))</f>
        <v/>
      </c>
      <c r="R1085" s="49" t="str">
        <f t="shared" si="2"/>
        <v/>
      </c>
      <c r="S1085" s="51" t="str">
        <f t="shared" si="3"/>
        <v/>
      </c>
      <c r="T1085" s="52" t="str">
        <f t="shared" si="4"/>
        <v/>
      </c>
      <c r="U1085" s="46" t="str">
        <f t="shared" si="5"/>
        <v/>
      </c>
      <c r="V1085" s="53" t="str">
        <f>IFERROR(__xludf.DUMMYFUNCTION(" IF(Account!$F1085&lt;&gt;"""", SPLIT(Account!$F1085, "" ""), """")"),"")</f>
        <v/>
      </c>
      <c r="W1085" s="54"/>
      <c r="X1085" s="54"/>
      <c r="Y1085" s="54"/>
      <c r="Z1085" s="54"/>
      <c r="AA1085" s="54"/>
      <c r="AB1085" s="54"/>
      <c r="AC1085" s="54"/>
      <c r="AD1085" s="54"/>
      <c r="AE1085" s="54"/>
      <c r="AF1085" s="54"/>
      <c r="AG1085" s="54"/>
      <c r="AH1085" s="54"/>
      <c r="AI1085" s="54"/>
      <c r="AJ1085" s="54"/>
    </row>
    <row r="1086">
      <c r="A1086" s="215"/>
      <c r="B1086" s="215"/>
      <c r="C1086" s="215"/>
      <c r="D1086" s="215"/>
      <c r="E1086" s="215"/>
      <c r="F1086" s="373"/>
      <c r="G1086" s="215"/>
      <c r="H1086" s="215"/>
      <c r="I1086" s="215"/>
      <c r="J1086" s="215"/>
      <c r="K1086" s="215"/>
      <c r="L1086" s="45" t="str">
        <f t="shared" si="1"/>
        <v/>
      </c>
      <c r="M1086" s="46" t="str">
        <f>IFERROR(__xludf.DUMMYFUNCTION("IF(Account!$F1086&lt;&gt;"""", VALUE(REGEXREPLACE($I1086, ""\,"", ""."")), """")"),"")</f>
        <v/>
      </c>
      <c r="N1086" s="47" t="str">
        <f>IF(Account!$F1086&lt;&gt;"", DATEVALUE(MID($A1086,4,3) &amp; LEFT($A1086,3) &amp; RIGHT($A1086,4)) + TIMEVALUE($B1086), "")</f>
        <v/>
      </c>
      <c r="O1086" s="48" t="str">
        <f>IF(Account!$F1086&lt;&gt;"", DATEVALUE(MID($A1086,4,3) &amp; LEFT($A1086,3) &amp; RIGHT($A1086,4)), "")</f>
        <v/>
      </c>
      <c r="P1086" s="49" t="str">
        <f>IFERROR(VLOOKUP($Q1086,Selection!$F:$G,2,false))</f>
        <v/>
      </c>
      <c r="Q1086" s="50" t="str">
        <f>IF(AND($X1086="change",$H1086="EUR"),IF(AND($Z1086="Crédit",$N1086=$N1087),$Q1087,IF(AND($Z1086="Débit",$N1086=$N1085),$Q1085)),IF(OR(AND(OR($E1086&lt;&gt;"",$L1086=""),$M1086&lt;&gt;0),$A1086=""),IFERROR(VLOOKUP($E1086,Selection!$E:$F,2,false)),IFERROR(VLOOKUP(SUBSTITUTE($I1086,"-","",1),$K1087:$Q1119,7,false),VLOOKUP($K1086,$K1087:$Q1119,7,false))))</f>
        <v/>
      </c>
      <c r="R1086" s="49" t="str">
        <f t="shared" si="2"/>
        <v/>
      </c>
      <c r="S1086" s="51" t="str">
        <f t="shared" si="3"/>
        <v/>
      </c>
      <c r="T1086" s="52" t="str">
        <f t="shared" si="4"/>
        <v/>
      </c>
      <c r="U1086" s="46" t="str">
        <f t="shared" si="5"/>
        <v/>
      </c>
      <c r="V1086" s="53" t="str">
        <f>IFERROR(__xludf.DUMMYFUNCTION(" IF(Account!$F1086&lt;&gt;"""", SPLIT(Account!$F1086, "" ""), """")"),"")</f>
        <v/>
      </c>
      <c r="W1086" s="54"/>
      <c r="X1086" s="54"/>
      <c r="Y1086" s="54"/>
      <c r="Z1086" s="54"/>
      <c r="AA1086" s="54"/>
      <c r="AB1086" s="54"/>
      <c r="AC1086" s="54"/>
      <c r="AD1086" s="54"/>
      <c r="AE1086" s="54"/>
      <c r="AF1086" s="54"/>
      <c r="AG1086" s="54"/>
      <c r="AH1086" s="54"/>
      <c r="AI1086" s="54"/>
      <c r="AJ1086" s="54"/>
    </row>
    <row r="1087">
      <c r="A1087" s="215"/>
      <c r="B1087" s="215"/>
      <c r="C1087" s="215"/>
      <c r="D1087" s="215"/>
      <c r="E1087" s="215"/>
      <c r="F1087" s="373"/>
      <c r="G1087" s="215"/>
      <c r="H1087" s="215"/>
      <c r="I1087" s="215"/>
      <c r="J1087" s="215"/>
      <c r="K1087" s="215"/>
      <c r="L1087" s="45" t="str">
        <f t="shared" si="1"/>
        <v/>
      </c>
      <c r="M1087" s="46" t="str">
        <f>IFERROR(__xludf.DUMMYFUNCTION("IF(Account!$F1087&lt;&gt;"""", VALUE(REGEXREPLACE($I1087, ""\,"", ""."")), """")"),"")</f>
        <v/>
      </c>
      <c r="N1087" s="47" t="str">
        <f>IF(Account!$F1087&lt;&gt;"", DATEVALUE(MID($A1087,4,3) &amp; LEFT($A1087,3) &amp; RIGHT($A1087,4)) + TIMEVALUE($B1087), "")</f>
        <v/>
      </c>
      <c r="O1087" s="48" t="str">
        <f>IF(Account!$F1087&lt;&gt;"", DATEVALUE(MID($A1087,4,3) &amp; LEFT($A1087,3) &amp; RIGHT($A1087,4)), "")</f>
        <v/>
      </c>
      <c r="P1087" s="49" t="str">
        <f>IFERROR(VLOOKUP($Q1087,Selection!$F:$G,2,false))</f>
        <v/>
      </c>
      <c r="Q1087" s="50" t="str">
        <f>IF(AND($X1087="change",$H1087="EUR"),IF(AND($Z1087="Crédit",$N1087=$N1088),$Q1088,IF(AND($Z1087="Débit",$N1087=$N1086),$Q1086)),IF(OR(AND(OR($E1087&lt;&gt;"",$L1087=""),$M1087&lt;&gt;0),$A1087=""),IFERROR(VLOOKUP($E1087,Selection!$E:$F,2,false)),IFERROR(VLOOKUP(SUBSTITUTE($I1087,"-","",1),$K1088:$Q1119,7,false),VLOOKUP($K1087,$K1088:$Q1119,7,false))))</f>
        <v/>
      </c>
      <c r="R1087" s="49" t="str">
        <f t="shared" si="2"/>
        <v/>
      </c>
      <c r="S1087" s="51" t="str">
        <f t="shared" si="3"/>
        <v/>
      </c>
      <c r="T1087" s="52" t="str">
        <f t="shared" si="4"/>
        <v/>
      </c>
      <c r="U1087" s="46" t="str">
        <f t="shared" si="5"/>
        <v/>
      </c>
      <c r="V1087" s="53" t="str">
        <f>IFERROR(__xludf.DUMMYFUNCTION(" IF(Account!$F1087&lt;&gt;"""", SPLIT(Account!$F1087, "" ""), """")"),"")</f>
        <v/>
      </c>
      <c r="W1087" s="54"/>
      <c r="X1087" s="54"/>
      <c r="Y1087" s="54"/>
      <c r="Z1087" s="54"/>
      <c r="AA1087" s="54"/>
      <c r="AB1087" s="54"/>
      <c r="AC1087" s="54"/>
      <c r="AD1087" s="54"/>
      <c r="AE1087" s="54"/>
      <c r="AF1087" s="54"/>
      <c r="AG1087" s="54"/>
      <c r="AH1087" s="54"/>
      <c r="AI1087" s="54"/>
      <c r="AJ1087" s="54"/>
    </row>
    <row r="1088">
      <c r="A1088" s="215"/>
      <c r="B1088" s="215"/>
      <c r="C1088" s="215"/>
      <c r="D1088" s="215"/>
      <c r="E1088" s="215"/>
      <c r="F1088" s="373"/>
      <c r="G1088" s="215"/>
      <c r="H1088" s="215"/>
      <c r="I1088" s="215"/>
      <c r="J1088" s="215"/>
      <c r="K1088" s="215"/>
      <c r="L1088" s="45" t="str">
        <f t="shared" si="1"/>
        <v/>
      </c>
      <c r="M1088" s="46" t="str">
        <f>IFERROR(__xludf.DUMMYFUNCTION("IF(Account!$F1088&lt;&gt;"""", VALUE(REGEXREPLACE($I1088, ""\,"", ""."")), """")"),"")</f>
        <v/>
      </c>
      <c r="N1088" s="47" t="str">
        <f>IF(Account!$F1088&lt;&gt;"", DATEVALUE(MID($A1088,4,3) &amp; LEFT($A1088,3) &amp; RIGHT($A1088,4)) + TIMEVALUE($B1088), "")</f>
        <v/>
      </c>
      <c r="O1088" s="48" t="str">
        <f>IF(Account!$F1088&lt;&gt;"", DATEVALUE(MID($A1088,4,3) &amp; LEFT($A1088,3) &amp; RIGHT($A1088,4)), "")</f>
        <v/>
      </c>
      <c r="P1088" s="49" t="str">
        <f>IFERROR(VLOOKUP($Q1088,Selection!$F:$G,2,false))</f>
        <v/>
      </c>
      <c r="Q1088" s="50" t="str">
        <f>IF(AND($X1088="change",$H1088="EUR"),IF(AND($Z1088="Crédit",$N1088=$N1089),$Q1089,IF(AND($Z1088="Débit",$N1088=$N1087),$Q1087)),IF(OR(AND(OR($E1088&lt;&gt;"",$L1088=""),$M1088&lt;&gt;0),$A1088=""),IFERROR(VLOOKUP($E1088,Selection!$E:$F,2,false)),IFERROR(VLOOKUP(SUBSTITUTE($I1088,"-","",1),$K1089:$Q1119,7,false),VLOOKUP($K1088,$K1089:$Q1119,7,false))))</f>
        <v/>
      </c>
      <c r="R1088" s="49" t="str">
        <f t="shared" si="2"/>
        <v/>
      </c>
      <c r="S1088" s="51" t="str">
        <f t="shared" si="3"/>
        <v/>
      </c>
      <c r="T1088" s="52" t="str">
        <f t="shared" si="4"/>
        <v/>
      </c>
      <c r="U1088" s="46" t="str">
        <f t="shared" si="5"/>
        <v/>
      </c>
      <c r="V1088" s="53" t="str">
        <f>IFERROR(__xludf.DUMMYFUNCTION(" IF(Account!$F1088&lt;&gt;"""", SPLIT(Account!$F1088, "" ""), """")"),"")</f>
        <v/>
      </c>
      <c r="W1088" s="54"/>
      <c r="X1088" s="54"/>
      <c r="Y1088" s="54"/>
      <c r="Z1088" s="54"/>
      <c r="AA1088" s="54"/>
      <c r="AB1088" s="54"/>
      <c r="AC1088" s="54"/>
      <c r="AD1088" s="54"/>
      <c r="AE1088" s="54"/>
      <c r="AF1088" s="54"/>
      <c r="AG1088" s="54"/>
      <c r="AH1088" s="54"/>
      <c r="AI1088" s="54"/>
      <c r="AJ1088" s="54"/>
    </row>
    <row r="1089">
      <c r="A1089" s="215"/>
      <c r="B1089" s="215"/>
      <c r="C1089" s="215"/>
      <c r="D1089" s="215"/>
      <c r="E1089" s="215"/>
      <c r="F1089" s="373"/>
      <c r="G1089" s="215"/>
      <c r="H1089" s="215"/>
      <c r="I1089" s="215"/>
      <c r="J1089" s="215"/>
      <c r="K1089" s="215"/>
      <c r="L1089" s="45" t="str">
        <f t="shared" si="1"/>
        <v/>
      </c>
      <c r="M1089" s="46" t="str">
        <f>IFERROR(__xludf.DUMMYFUNCTION("IF(Account!$F1089&lt;&gt;"""", VALUE(REGEXREPLACE($I1089, ""\,"", ""."")), """")"),"")</f>
        <v/>
      </c>
      <c r="N1089" s="47" t="str">
        <f>IF(Account!$F1089&lt;&gt;"", DATEVALUE(MID($A1089,4,3) &amp; LEFT($A1089,3) &amp; RIGHT($A1089,4)) + TIMEVALUE($B1089), "")</f>
        <v/>
      </c>
      <c r="O1089" s="48" t="str">
        <f>IF(Account!$F1089&lt;&gt;"", DATEVALUE(MID($A1089,4,3) &amp; LEFT($A1089,3) &amp; RIGHT($A1089,4)), "")</f>
        <v/>
      </c>
      <c r="P1089" s="49" t="str">
        <f>IFERROR(VLOOKUP($Q1089,Selection!$F:$G,2,false))</f>
        <v/>
      </c>
      <c r="Q1089" s="50" t="str">
        <f>IF(AND($X1089="change",$H1089="EUR"),IF(AND($Z1089="Crédit",$N1089=$N1090),$Q1090,IF(AND($Z1089="Débit",$N1089=$N1088),$Q1088)),IF(OR(AND(OR($E1089&lt;&gt;"",$L1089=""),$M1089&lt;&gt;0),$A1089=""),IFERROR(VLOOKUP($E1089,Selection!$E:$F,2,false)),IFERROR(VLOOKUP(SUBSTITUTE($I1089,"-","",1),$K1090:$Q1119,7,false),VLOOKUP($K1089,$K1090:$Q1119,7,false))))</f>
        <v/>
      </c>
      <c r="R1089" s="49" t="str">
        <f t="shared" si="2"/>
        <v/>
      </c>
      <c r="S1089" s="51" t="str">
        <f t="shared" si="3"/>
        <v/>
      </c>
      <c r="T1089" s="52" t="str">
        <f t="shared" si="4"/>
        <v/>
      </c>
      <c r="U1089" s="46" t="str">
        <f t="shared" si="5"/>
        <v/>
      </c>
      <c r="V1089" s="53" t="str">
        <f>IFERROR(__xludf.DUMMYFUNCTION(" IF(Account!$F1089&lt;&gt;"""", SPLIT(Account!$F1089, "" ""), """")"),"")</f>
        <v/>
      </c>
      <c r="W1089" s="54"/>
      <c r="X1089" s="54"/>
      <c r="Y1089" s="54"/>
      <c r="Z1089" s="54"/>
      <c r="AA1089" s="54"/>
      <c r="AB1089" s="54"/>
      <c r="AC1089" s="54"/>
      <c r="AD1089" s="54"/>
      <c r="AE1089" s="54"/>
      <c r="AF1089" s="54"/>
      <c r="AG1089" s="54"/>
      <c r="AH1089" s="54"/>
      <c r="AI1089" s="54"/>
      <c r="AJ1089" s="54"/>
    </row>
    <row r="1090">
      <c r="A1090" s="215"/>
      <c r="B1090" s="215"/>
      <c r="C1090" s="215"/>
      <c r="D1090" s="215"/>
      <c r="E1090" s="215"/>
      <c r="F1090" s="373"/>
      <c r="G1090" s="215"/>
      <c r="H1090" s="215"/>
      <c r="I1090" s="215"/>
      <c r="J1090" s="215"/>
      <c r="K1090" s="215"/>
      <c r="L1090" s="45" t="str">
        <f t="shared" si="1"/>
        <v/>
      </c>
      <c r="M1090" s="46" t="str">
        <f>IFERROR(__xludf.DUMMYFUNCTION("IF(Account!$F1090&lt;&gt;"""", VALUE(REGEXREPLACE($I1090, ""\,"", ""."")), """")"),"")</f>
        <v/>
      </c>
      <c r="N1090" s="47" t="str">
        <f>IF(Account!$F1090&lt;&gt;"", DATEVALUE(MID($A1090,4,3) &amp; LEFT($A1090,3) &amp; RIGHT($A1090,4)) + TIMEVALUE($B1090), "")</f>
        <v/>
      </c>
      <c r="O1090" s="48" t="str">
        <f>IF(Account!$F1090&lt;&gt;"", DATEVALUE(MID($A1090,4,3) &amp; LEFT($A1090,3) &amp; RIGHT($A1090,4)), "")</f>
        <v/>
      </c>
      <c r="P1090" s="49" t="str">
        <f>IFERROR(VLOOKUP($Q1090,Selection!$F:$G,2,false))</f>
        <v/>
      </c>
      <c r="Q1090" s="50" t="str">
        <f>IF(AND($X1090="change",$H1090="EUR"),IF(AND($Z1090="Crédit",$N1090=$N1091),$Q1091,IF(AND($Z1090="Débit",$N1090=$N1089),$Q1089)),IF(OR(AND(OR($E1090&lt;&gt;"",$L1090=""),$M1090&lt;&gt;0),$A1090=""),IFERROR(VLOOKUP($E1090,Selection!$E:$F,2,false)),IFERROR(VLOOKUP(SUBSTITUTE($I1090,"-","",1),$K1091:$Q1119,7,false),VLOOKUP($K1090,$K1091:$Q1119,7,false))))</f>
        <v/>
      </c>
      <c r="R1090" s="49" t="str">
        <f t="shared" si="2"/>
        <v/>
      </c>
      <c r="S1090" s="51" t="str">
        <f t="shared" si="3"/>
        <v/>
      </c>
      <c r="T1090" s="52" t="str">
        <f t="shared" si="4"/>
        <v/>
      </c>
      <c r="U1090" s="46" t="str">
        <f t="shared" si="5"/>
        <v/>
      </c>
      <c r="V1090" s="53" t="str">
        <f>IFERROR(__xludf.DUMMYFUNCTION(" IF(Account!$F1090&lt;&gt;"""", SPLIT(Account!$F1090, "" ""), """")"),"")</f>
        <v/>
      </c>
      <c r="W1090" s="54"/>
      <c r="X1090" s="54"/>
      <c r="Y1090" s="54"/>
      <c r="Z1090" s="54"/>
      <c r="AA1090" s="54"/>
      <c r="AB1090" s="54"/>
      <c r="AC1090" s="54"/>
      <c r="AD1090" s="54"/>
      <c r="AE1090" s="54"/>
      <c r="AF1090" s="54"/>
      <c r="AG1090" s="54"/>
      <c r="AH1090" s="54"/>
      <c r="AI1090" s="54"/>
      <c r="AJ1090" s="54"/>
    </row>
    <row r="1091">
      <c r="A1091" s="215"/>
      <c r="B1091" s="215"/>
      <c r="C1091" s="215"/>
      <c r="D1091" s="215"/>
      <c r="E1091" s="215"/>
      <c r="F1091" s="373"/>
      <c r="G1091" s="215"/>
      <c r="H1091" s="215"/>
      <c r="I1091" s="215"/>
      <c r="J1091" s="215"/>
      <c r="K1091" s="215"/>
      <c r="L1091" s="45" t="str">
        <f t="shared" si="1"/>
        <v/>
      </c>
      <c r="M1091" s="46" t="str">
        <f>IFERROR(__xludf.DUMMYFUNCTION("IF(Account!$F1091&lt;&gt;"""", VALUE(REGEXREPLACE($I1091, ""\,"", ""."")), """")"),"")</f>
        <v/>
      </c>
      <c r="N1091" s="47" t="str">
        <f>IF(Account!$F1091&lt;&gt;"", DATEVALUE(MID($A1091,4,3) &amp; LEFT($A1091,3) &amp; RIGHT($A1091,4)) + TIMEVALUE($B1091), "")</f>
        <v/>
      </c>
      <c r="O1091" s="48" t="str">
        <f>IF(Account!$F1091&lt;&gt;"", DATEVALUE(MID($A1091,4,3) &amp; LEFT($A1091,3) &amp; RIGHT($A1091,4)), "")</f>
        <v/>
      </c>
      <c r="P1091" s="49" t="str">
        <f>IFERROR(VLOOKUP($Q1091,Selection!$F:$G,2,false))</f>
        <v/>
      </c>
      <c r="Q1091" s="50" t="str">
        <f>IF(AND($X1091="change",$H1091="EUR"),IF(AND($Z1091="Crédit",$N1091=$N1092),$Q1092,IF(AND($Z1091="Débit",$N1091=$N1090),$Q1090)),IF(OR(AND(OR($E1091&lt;&gt;"",$L1091=""),$M1091&lt;&gt;0),$A1091=""),IFERROR(VLOOKUP($E1091,Selection!$E:$F,2,false)),IFERROR(VLOOKUP(SUBSTITUTE($I1091,"-","",1),$K1092:$Q1119,7,false),VLOOKUP($K1091,$K1092:$Q1119,7,false))))</f>
        <v/>
      </c>
      <c r="R1091" s="49" t="str">
        <f t="shared" si="2"/>
        <v/>
      </c>
      <c r="S1091" s="51" t="str">
        <f t="shared" si="3"/>
        <v/>
      </c>
      <c r="T1091" s="52" t="str">
        <f t="shared" si="4"/>
        <v/>
      </c>
      <c r="U1091" s="46" t="str">
        <f t="shared" si="5"/>
        <v/>
      </c>
      <c r="V1091" s="53" t="str">
        <f>IFERROR(__xludf.DUMMYFUNCTION(" IF(Account!$F1091&lt;&gt;"""", SPLIT(Account!$F1091, "" ""), """")"),"")</f>
        <v/>
      </c>
      <c r="W1091" s="54"/>
      <c r="X1091" s="54"/>
      <c r="Y1091" s="54"/>
      <c r="Z1091" s="54"/>
      <c r="AA1091" s="54"/>
      <c r="AB1091" s="54"/>
      <c r="AC1091" s="54"/>
      <c r="AD1091" s="54"/>
      <c r="AE1091" s="54"/>
      <c r="AF1091" s="54"/>
      <c r="AG1091" s="54"/>
      <c r="AH1091" s="54"/>
      <c r="AI1091" s="54"/>
      <c r="AJ1091" s="54"/>
    </row>
    <row r="1092">
      <c r="A1092" s="215"/>
      <c r="B1092" s="215"/>
      <c r="C1092" s="215"/>
      <c r="D1092" s="215"/>
      <c r="E1092" s="215"/>
      <c r="F1092" s="373"/>
      <c r="G1092" s="215"/>
      <c r="H1092" s="215"/>
      <c r="I1092" s="215"/>
      <c r="J1092" s="215"/>
      <c r="K1092" s="215"/>
      <c r="L1092" s="45" t="str">
        <f t="shared" si="1"/>
        <v/>
      </c>
      <c r="M1092" s="46" t="str">
        <f>IFERROR(__xludf.DUMMYFUNCTION("IF(Account!$F1092&lt;&gt;"""", VALUE(REGEXREPLACE($I1092, ""\,"", ""."")), """")"),"")</f>
        <v/>
      </c>
      <c r="N1092" s="47" t="str">
        <f>IF(Account!$F1092&lt;&gt;"", DATEVALUE(MID($A1092,4,3) &amp; LEFT($A1092,3) &amp; RIGHT($A1092,4)) + TIMEVALUE($B1092), "")</f>
        <v/>
      </c>
      <c r="O1092" s="48" t="str">
        <f>IF(Account!$F1092&lt;&gt;"", DATEVALUE(MID($A1092,4,3) &amp; LEFT($A1092,3) &amp; RIGHT($A1092,4)), "")</f>
        <v/>
      </c>
      <c r="P1092" s="49" t="str">
        <f>IFERROR(VLOOKUP($Q1092,Selection!$F:$G,2,false))</f>
        <v/>
      </c>
      <c r="Q1092" s="50" t="str">
        <f>IF(AND($X1092="change",$H1092="EUR"),IF(AND($Z1092="Crédit",$N1092=$N1093),$Q1093,IF(AND($Z1092="Débit",$N1092=$N1091),$Q1091)),IF(OR(AND(OR($E1092&lt;&gt;"",$L1092=""),$M1092&lt;&gt;0),$A1092=""),IFERROR(VLOOKUP($E1092,Selection!$E:$F,2,false)),IFERROR(VLOOKUP(SUBSTITUTE($I1092,"-","",1),$K1093:$Q1119,7,false),VLOOKUP($K1092,$K1093:$Q1119,7,false))))</f>
        <v/>
      </c>
      <c r="R1092" s="49" t="str">
        <f t="shared" si="2"/>
        <v/>
      </c>
      <c r="S1092" s="51" t="str">
        <f t="shared" si="3"/>
        <v/>
      </c>
      <c r="T1092" s="52" t="str">
        <f t="shared" si="4"/>
        <v/>
      </c>
      <c r="U1092" s="46" t="str">
        <f t="shared" si="5"/>
        <v/>
      </c>
      <c r="V1092" s="53" t="str">
        <f>IFERROR(__xludf.DUMMYFUNCTION(" IF(Account!$F1092&lt;&gt;"""", SPLIT(Account!$F1092, "" ""), """")"),"")</f>
        <v/>
      </c>
      <c r="W1092" s="54"/>
      <c r="X1092" s="54"/>
      <c r="Y1092" s="54"/>
      <c r="Z1092" s="54"/>
      <c r="AA1092" s="54"/>
      <c r="AB1092" s="54"/>
      <c r="AC1092" s="54"/>
      <c r="AD1092" s="54"/>
      <c r="AE1092" s="54"/>
      <c r="AF1092" s="54"/>
      <c r="AG1092" s="54"/>
      <c r="AH1092" s="54"/>
      <c r="AI1092" s="54"/>
      <c r="AJ1092" s="54"/>
    </row>
    <row r="1093">
      <c r="A1093" s="215"/>
      <c r="B1093" s="215"/>
      <c r="C1093" s="215"/>
      <c r="D1093" s="215"/>
      <c r="E1093" s="215"/>
      <c r="F1093" s="373"/>
      <c r="G1093" s="215"/>
      <c r="H1093" s="215"/>
      <c r="I1093" s="215"/>
      <c r="J1093" s="215"/>
      <c r="K1093" s="215"/>
      <c r="L1093" s="45" t="str">
        <f t="shared" si="1"/>
        <v/>
      </c>
      <c r="M1093" s="46" t="str">
        <f>IFERROR(__xludf.DUMMYFUNCTION("IF(Account!$F1093&lt;&gt;"""", VALUE(REGEXREPLACE($I1093, ""\,"", ""."")), """")"),"")</f>
        <v/>
      </c>
      <c r="N1093" s="47" t="str">
        <f>IF(Account!$F1093&lt;&gt;"", DATEVALUE(MID($A1093,4,3) &amp; LEFT($A1093,3) &amp; RIGHT($A1093,4)) + TIMEVALUE($B1093), "")</f>
        <v/>
      </c>
      <c r="O1093" s="48" t="str">
        <f>IF(Account!$F1093&lt;&gt;"", DATEVALUE(MID($A1093,4,3) &amp; LEFT($A1093,3) &amp; RIGHT($A1093,4)), "")</f>
        <v/>
      </c>
      <c r="P1093" s="49" t="str">
        <f>IFERROR(VLOOKUP($Q1093,Selection!$F:$G,2,false))</f>
        <v/>
      </c>
      <c r="Q1093" s="50" t="str">
        <f>IF(AND($X1093="change",$H1093="EUR"),IF(AND($Z1093="Crédit",$N1093=$N1094),$Q1094,IF(AND($Z1093="Débit",$N1093=$N1092),$Q1092)),IF(OR(AND(OR($E1093&lt;&gt;"",$L1093=""),$M1093&lt;&gt;0),$A1093=""),IFERROR(VLOOKUP($E1093,Selection!$E:$F,2,false)),IFERROR(VLOOKUP(SUBSTITUTE($I1093,"-","",1),$K1094:$Q1119,7,false),VLOOKUP($K1093,$K1094:$Q1119,7,false))))</f>
        <v/>
      </c>
      <c r="R1093" s="49" t="str">
        <f t="shared" si="2"/>
        <v/>
      </c>
      <c r="S1093" s="51" t="str">
        <f t="shared" si="3"/>
        <v/>
      </c>
      <c r="T1093" s="52" t="str">
        <f t="shared" si="4"/>
        <v/>
      </c>
      <c r="U1093" s="46" t="str">
        <f t="shared" si="5"/>
        <v/>
      </c>
      <c r="V1093" s="53" t="str">
        <f>IFERROR(__xludf.DUMMYFUNCTION(" IF(Account!$F1093&lt;&gt;"""", SPLIT(Account!$F1093, "" ""), """")"),"")</f>
        <v/>
      </c>
      <c r="W1093" s="54"/>
      <c r="X1093" s="54"/>
      <c r="Y1093" s="54"/>
      <c r="Z1093" s="54"/>
      <c r="AA1093" s="54"/>
      <c r="AB1093" s="54"/>
      <c r="AC1093" s="54"/>
      <c r="AD1093" s="54"/>
      <c r="AE1093" s="54"/>
      <c r="AF1093" s="54"/>
      <c r="AG1093" s="54"/>
      <c r="AH1093" s="54"/>
      <c r="AI1093" s="54"/>
      <c r="AJ1093" s="54"/>
    </row>
    <row r="1094">
      <c r="A1094" s="215"/>
      <c r="B1094" s="215"/>
      <c r="C1094" s="215"/>
      <c r="D1094" s="215"/>
      <c r="E1094" s="215"/>
      <c r="F1094" s="373"/>
      <c r="G1094" s="215"/>
      <c r="H1094" s="215"/>
      <c r="I1094" s="215"/>
      <c r="J1094" s="215"/>
      <c r="K1094" s="215"/>
      <c r="L1094" s="45" t="str">
        <f t="shared" si="1"/>
        <v/>
      </c>
      <c r="M1094" s="46" t="str">
        <f>IFERROR(__xludf.DUMMYFUNCTION("IF(Account!$F1094&lt;&gt;"""", VALUE(REGEXREPLACE($I1094, ""\,"", ""."")), """")"),"")</f>
        <v/>
      </c>
      <c r="N1094" s="47" t="str">
        <f>IF(Account!$F1094&lt;&gt;"", DATEVALUE(MID($A1094,4,3) &amp; LEFT($A1094,3) &amp; RIGHT($A1094,4)) + TIMEVALUE($B1094), "")</f>
        <v/>
      </c>
      <c r="O1094" s="48" t="str">
        <f>IF(Account!$F1094&lt;&gt;"", DATEVALUE(MID($A1094,4,3) &amp; LEFT($A1094,3) &amp; RIGHT($A1094,4)), "")</f>
        <v/>
      </c>
      <c r="P1094" s="49" t="str">
        <f>IFERROR(VLOOKUP($Q1094,Selection!$F:$G,2,false))</f>
        <v/>
      </c>
      <c r="Q1094" s="50" t="str">
        <f>IF(AND($X1094="change",$H1094="EUR"),IF(AND($Z1094="Crédit",$N1094=$N1095),$Q1095,IF(AND($Z1094="Débit",$N1094=$N1093),$Q1093)),IF(OR(AND(OR($E1094&lt;&gt;"",$L1094=""),$M1094&lt;&gt;0),$A1094=""),IFERROR(VLOOKUP($E1094,Selection!$E:$F,2,false)),IFERROR(VLOOKUP(SUBSTITUTE($I1094,"-","",1),$K1095:$Q1119,7,false),VLOOKUP($K1094,$K1095:$Q1119,7,false))))</f>
        <v/>
      </c>
      <c r="R1094" s="49" t="str">
        <f t="shared" si="2"/>
        <v/>
      </c>
      <c r="S1094" s="51" t="str">
        <f t="shared" si="3"/>
        <v/>
      </c>
      <c r="T1094" s="52" t="str">
        <f t="shared" si="4"/>
        <v/>
      </c>
      <c r="U1094" s="46" t="str">
        <f t="shared" si="5"/>
        <v/>
      </c>
      <c r="V1094" s="53" t="str">
        <f>IFERROR(__xludf.DUMMYFUNCTION(" IF(Account!$F1094&lt;&gt;"""", SPLIT(Account!$F1094, "" ""), """")"),"")</f>
        <v/>
      </c>
      <c r="W1094" s="54"/>
      <c r="X1094" s="54"/>
      <c r="Y1094" s="54"/>
      <c r="Z1094" s="54"/>
      <c r="AA1094" s="54"/>
      <c r="AB1094" s="54"/>
      <c r="AC1094" s="54"/>
      <c r="AD1094" s="54"/>
      <c r="AE1094" s="54"/>
      <c r="AF1094" s="54"/>
      <c r="AG1094" s="54"/>
      <c r="AH1094" s="54"/>
      <c r="AI1094" s="54"/>
      <c r="AJ1094" s="54"/>
    </row>
    <row r="1095">
      <c r="A1095" s="215"/>
      <c r="B1095" s="215"/>
      <c r="C1095" s="215"/>
      <c r="D1095" s="215"/>
      <c r="E1095" s="215"/>
      <c r="F1095" s="373"/>
      <c r="G1095" s="215"/>
      <c r="H1095" s="215"/>
      <c r="I1095" s="215"/>
      <c r="J1095" s="215"/>
      <c r="K1095" s="215"/>
      <c r="L1095" s="45" t="str">
        <f t="shared" si="1"/>
        <v/>
      </c>
      <c r="M1095" s="46" t="str">
        <f>IFERROR(__xludf.DUMMYFUNCTION("IF(Account!$F1095&lt;&gt;"""", VALUE(REGEXREPLACE($I1095, ""\,"", ""."")), """")"),"")</f>
        <v/>
      </c>
      <c r="N1095" s="47" t="str">
        <f>IF(Account!$F1095&lt;&gt;"", DATEVALUE(MID($A1095,4,3) &amp; LEFT($A1095,3) &amp; RIGHT($A1095,4)) + TIMEVALUE($B1095), "")</f>
        <v/>
      </c>
      <c r="O1095" s="48" t="str">
        <f>IF(Account!$F1095&lt;&gt;"", DATEVALUE(MID($A1095,4,3) &amp; LEFT($A1095,3) &amp; RIGHT($A1095,4)), "")</f>
        <v/>
      </c>
      <c r="P1095" s="49" t="str">
        <f>IFERROR(VLOOKUP($Q1095,Selection!$F:$G,2,false))</f>
        <v/>
      </c>
      <c r="Q1095" s="50" t="str">
        <f>IF(AND($X1095="change",$H1095="EUR"),IF(AND($Z1095="Crédit",$N1095=$N1096),$Q1096,IF(AND($Z1095="Débit",$N1095=$N1094),$Q1094)),IF(OR(AND(OR($E1095&lt;&gt;"",$L1095=""),$M1095&lt;&gt;0),$A1095=""),IFERROR(VLOOKUP($E1095,Selection!$E:$F,2,false)),IFERROR(VLOOKUP(SUBSTITUTE($I1095,"-","",1),$K1096:$Q1119,7,false),VLOOKUP($K1095,$K1096:$Q1119,7,false))))</f>
        <v/>
      </c>
      <c r="R1095" s="49" t="str">
        <f t="shared" si="2"/>
        <v/>
      </c>
      <c r="S1095" s="51" t="str">
        <f t="shared" si="3"/>
        <v/>
      </c>
      <c r="T1095" s="52" t="str">
        <f t="shared" si="4"/>
        <v/>
      </c>
      <c r="U1095" s="46" t="str">
        <f t="shared" si="5"/>
        <v/>
      </c>
      <c r="V1095" s="53" t="str">
        <f>IFERROR(__xludf.DUMMYFUNCTION(" IF(Account!$F1095&lt;&gt;"""", SPLIT(Account!$F1095, "" ""), """")"),"")</f>
        <v/>
      </c>
      <c r="W1095" s="54"/>
      <c r="X1095" s="54"/>
      <c r="Y1095" s="54"/>
      <c r="Z1095" s="54"/>
      <c r="AA1095" s="54"/>
      <c r="AB1095" s="54"/>
      <c r="AC1095" s="54"/>
      <c r="AD1095" s="54"/>
      <c r="AE1095" s="54"/>
      <c r="AF1095" s="54"/>
      <c r="AG1095" s="54"/>
      <c r="AH1095" s="54"/>
      <c r="AI1095" s="54"/>
      <c r="AJ1095" s="54"/>
    </row>
    <row r="1096">
      <c r="A1096" s="215"/>
      <c r="B1096" s="215"/>
      <c r="C1096" s="215"/>
      <c r="D1096" s="215"/>
      <c r="E1096" s="215"/>
      <c r="F1096" s="373"/>
      <c r="G1096" s="215"/>
      <c r="H1096" s="215"/>
      <c r="I1096" s="215"/>
      <c r="J1096" s="215"/>
      <c r="K1096" s="215"/>
      <c r="L1096" s="45" t="str">
        <f t="shared" si="1"/>
        <v/>
      </c>
      <c r="M1096" s="46" t="str">
        <f>IFERROR(__xludf.DUMMYFUNCTION("IF(Account!$F1096&lt;&gt;"""", VALUE(REGEXREPLACE($I1096, ""\,"", ""."")), """")"),"")</f>
        <v/>
      </c>
      <c r="N1096" s="47" t="str">
        <f>IF(Account!$F1096&lt;&gt;"", DATEVALUE(MID($A1096,4,3) &amp; LEFT($A1096,3) &amp; RIGHT($A1096,4)) + TIMEVALUE($B1096), "")</f>
        <v/>
      </c>
      <c r="O1096" s="48" t="str">
        <f>IF(Account!$F1096&lt;&gt;"", DATEVALUE(MID($A1096,4,3) &amp; LEFT($A1096,3) &amp; RIGHT($A1096,4)), "")</f>
        <v/>
      </c>
      <c r="P1096" s="49" t="str">
        <f>IFERROR(VLOOKUP($Q1096,Selection!$F:$G,2,false))</f>
        <v/>
      </c>
      <c r="Q1096" s="50" t="str">
        <f>IF(AND($X1096="change",$H1096="EUR"),IF(AND($Z1096="Crédit",$N1096=$N1097),$Q1097,IF(AND($Z1096="Débit",$N1096=$N1095),$Q1095)),IF(OR(AND(OR($E1096&lt;&gt;"",$L1096=""),$M1096&lt;&gt;0),$A1096=""),IFERROR(VLOOKUP($E1096,Selection!$E:$F,2,false)),IFERROR(VLOOKUP(SUBSTITUTE($I1096,"-","",1),$K1097:$Q1119,7,false),VLOOKUP($K1096,$K1097:$Q1119,7,false))))</f>
        <v/>
      </c>
      <c r="R1096" s="49" t="str">
        <f t="shared" si="2"/>
        <v/>
      </c>
      <c r="S1096" s="51" t="str">
        <f t="shared" si="3"/>
        <v/>
      </c>
      <c r="T1096" s="52" t="str">
        <f t="shared" si="4"/>
        <v/>
      </c>
      <c r="U1096" s="46" t="str">
        <f t="shared" si="5"/>
        <v/>
      </c>
      <c r="V1096" s="53" t="str">
        <f>IFERROR(__xludf.DUMMYFUNCTION(" IF(Account!$F1096&lt;&gt;"""", SPLIT(Account!$F1096, "" ""), """")"),"")</f>
        <v/>
      </c>
      <c r="W1096" s="54"/>
      <c r="X1096" s="54"/>
      <c r="Y1096" s="54"/>
      <c r="Z1096" s="54"/>
      <c r="AA1096" s="54"/>
      <c r="AB1096" s="54"/>
      <c r="AC1096" s="54"/>
      <c r="AD1096" s="54"/>
      <c r="AE1096" s="54"/>
      <c r="AF1096" s="54"/>
      <c r="AG1096" s="54"/>
      <c r="AH1096" s="54"/>
      <c r="AI1096" s="54"/>
      <c r="AJ1096" s="54"/>
    </row>
    <row r="1097">
      <c r="A1097" s="215"/>
      <c r="B1097" s="215"/>
      <c r="C1097" s="215"/>
      <c r="D1097" s="215"/>
      <c r="E1097" s="215"/>
      <c r="F1097" s="373"/>
      <c r="G1097" s="215"/>
      <c r="H1097" s="215"/>
      <c r="I1097" s="215"/>
      <c r="J1097" s="215"/>
      <c r="K1097" s="215"/>
      <c r="L1097" s="45" t="str">
        <f t="shared" si="1"/>
        <v/>
      </c>
      <c r="M1097" s="46" t="str">
        <f>IFERROR(__xludf.DUMMYFUNCTION("IF(Account!$F1097&lt;&gt;"""", VALUE(REGEXREPLACE($I1097, ""\,"", ""."")), """")"),"")</f>
        <v/>
      </c>
      <c r="N1097" s="47" t="str">
        <f>IF(Account!$F1097&lt;&gt;"", DATEVALUE(MID($A1097,4,3) &amp; LEFT($A1097,3) &amp; RIGHT($A1097,4)) + TIMEVALUE($B1097), "")</f>
        <v/>
      </c>
      <c r="O1097" s="48" t="str">
        <f>IF(Account!$F1097&lt;&gt;"", DATEVALUE(MID($A1097,4,3) &amp; LEFT($A1097,3) &amp; RIGHT($A1097,4)), "")</f>
        <v/>
      </c>
      <c r="P1097" s="49" t="str">
        <f>IFERROR(VLOOKUP($Q1097,Selection!$F:$G,2,false))</f>
        <v/>
      </c>
      <c r="Q1097" s="50" t="str">
        <f>IF(AND($X1097="change",$H1097="EUR"),IF(AND($Z1097="Crédit",$N1097=$N1098),$Q1098,IF(AND($Z1097="Débit",$N1097=$N1096),$Q1096)),IF(OR(AND(OR($E1097&lt;&gt;"",$L1097=""),$M1097&lt;&gt;0),$A1097=""),IFERROR(VLOOKUP($E1097,Selection!$E:$F,2,false)),IFERROR(VLOOKUP(SUBSTITUTE($I1097,"-","",1),$K1098:$Q1119,7,false),VLOOKUP($K1097,$K1098:$Q1119,7,false))))</f>
        <v/>
      </c>
      <c r="R1097" s="49" t="str">
        <f t="shared" si="2"/>
        <v/>
      </c>
      <c r="S1097" s="51" t="str">
        <f t="shared" si="3"/>
        <v/>
      </c>
      <c r="T1097" s="52" t="str">
        <f t="shared" si="4"/>
        <v/>
      </c>
      <c r="U1097" s="46" t="str">
        <f t="shared" si="5"/>
        <v/>
      </c>
      <c r="V1097" s="53" t="str">
        <f>IFERROR(__xludf.DUMMYFUNCTION(" IF(Account!$F1097&lt;&gt;"""", SPLIT(Account!$F1097, "" ""), """")"),"")</f>
        <v/>
      </c>
      <c r="W1097" s="54"/>
      <c r="X1097" s="54"/>
      <c r="Y1097" s="54"/>
      <c r="Z1097" s="54"/>
      <c r="AA1097" s="54"/>
      <c r="AB1097" s="54"/>
      <c r="AC1097" s="54"/>
      <c r="AD1097" s="54"/>
      <c r="AE1097" s="54"/>
      <c r="AF1097" s="54"/>
      <c r="AG1097" s="54"/>
      <c r="AH1097" s="54"/>
      <c r="AI1097" s="54"/>
      <c r="AJ1097" s="54"/>
    </row>
    <row r="1098">
      <c r="A1098" s="215"/>
      <c r="B1098" s="215"/>
      <c r="C1098" s="215"/>
      <c r="D1098" s="215"/>
      <c r="E1098" s="215"/>
      <c r="F1098" s="373"/>
      <c r="G1098" s="215"/>
      <c r="H1098" s="215"/>
      <c r="I1098" s="215"/>
      <c r="J1098" s="215"/>
      <c r="K1098" s="215"/>
      <c r="L1098" s="45" t="str">
        <f t="shared" si="1"/>
        <v/>
      </c>
      <c r="M1098" s="46" t="str">
        <f>IFERROR(__xludf.DUMMYFUNCTION("IF(Account!$F1098&lt;&gt;"""", VALUE(REGEXREPLACE($I1098, ""\,"", ""."")), """")"),"")</f>
        <v/>
      </c>
      <c r="N1098" s="47" t="str">
        <f>IF(Account!$F1098&lt;&gt;"", DATEVALUE(MID($A1098,4,3) &amp; LEFT($A1098,3) &amp; RIGHT($A1098,4)) + TIMEVALUE($B1098), "")</f>
        <v/>
      </c>
      <c r="O1098" s="48" t="str">
        <f>IF(Account!$F1098&lt;&gt;"", DATEVALUE(MID($A1098,4,3) &amp; LEFT($A1098,3) &amp; RIGHT($A1098,4)), "")</f>
        <v/>
      </c>
      <c r="P1098" s="49" t="str">
        <f>IFERROR(VLOOKUP($Q1098,Selection!$F:$G,2,false))</f>
        <v/>
      </c>
      <c r="Q1098" s="50" t="str">
        <f>IF(AND($X1098="change",$H1098="EUR"),IF(AND($Z1098="Crédit",$N1098=$N1099),$Q1099,IF(AND($Z1098="Débit",$N1098=$N1097),$Q1097)),IF(OR(AND(OR($E1098&lt;&gt;"",$L1098=""),$M1098&lt;&gt;0),$A1098=""),IFERROR(VLOOKUP($E1098,Selection!$E:$F,2,false)),IFERROR(VLOOKUP(SUBSTITUTE($I1098,"-","",1),$K1099:$Q1119,7,false),VLOOKUP($K1098,$K1099:$Q1119,7,false))))</f>
        <v/>
      </c>
      <c r="R1098" s="49" t="str">
        <f t="shared" si="2"/>
        <v/>
      </c>
      <c r="S1098" s="51" t="str">
        <f t="shared" si="3"/>
        <v/>
      </c>
      <c r="T1098" s="52" t="str">
        <f t="shared" si="4"/>
        <v/>
      </c>
      <c r="U1098" s="46" t="str">
        <f t="shared" si="5"/>
        <v/>
      </c>
      <c r="V1098" s="53" t="str">
        <f>IFERROR(__xludf.DUMMYFUNCTION(" IF(Account!$F1098&lt;&gt;"""", SPLIT(Account!$F1098, "" ""), """")"),"")</f>
        <v/>
      </c>
      <c r="W1098" s="54"/>
      <c r="X1098" s="54"/>
      <c r="Y1098" s="54"/>
      <c r="Z1098" s="54"/>
      <c r="AA1098" s="54"/>
      <c r="AB1098" s="54"/>
      <c r="AC1098" s="54"/>
      <c r="AD1098" s="54"/>
      <c r="AE1098" s="54"/>
      <c r="AF1098" s="54"/>
      <c r="AG1098" s="54"/>
      <c r="AH1098" s="54"/>
      <c r="AI1098" s="54"/>
      <c r="AJ1098" s="54"/>
    </row>
    <row r="1099">
      <c r="A1099" s="215"/>
      <c r="B1099" s="215"/>
      <c r="C1099" s="215"/>
      <c r="D1099" s="215"/>
      <c r="E1099" s="215"/>
      <c r="F1099" s="373"/>
      <c r="G1099" s="215"/>
      <c r="H1099" s="215"/>
      <c r="I1099" s="215"/>
      <c r="J1099" s="215"/>
      <c r="K1099" s="215"/>
      <c r="L1099" s="45" t="str">
        <f t="shared" si="1"/>
        <v/>
      </c>
      <c r="M1099" s="46" t="str">
        <f>IFERROR(__xludf.DUMMYFUNCTION("IF(Account!$F1099&lt;&gt;"""", VALUE(REGEXREPLACE($I1099, ""\,"", ""."")), """")"),"")</f>
        <v/>
      </c>
      <c r="N1099" s="47" t="str">
        <f>IF(Account!$F1099&lt;&gt;"", DATEVALUE(MID($A1099,4,3) &amp; LEFT($A1099,3) &amp; RIGHT($A1099,4)) + TIMEVALUE($B1099), "")</f>
        <v/>
      </c>
      <c r="O1099" s="48" t="str">
        <f>IF(Account!$F1099&lt;&gt;"", DATEVALUE(MID($A1099,4,3) &amp; LEFT($A1099,3) &amp; RIGHT($A1099,4)), "")</f>
        <v/>
      </c>
      <c r="P1099" s="49" t="str">
        <f>IFERROR(VLOOKUP($Q1099,Selection!$F:$G,2,false))</f>
        <v/>
      </c>
      <c r="Q1099" s="50" t="str">
        <f>IF(AND($X1099="change",$H1099="EUR"),IF(AND($Z1099="Crédit",$N1099=$N1100),$Q1100,IF(AND($Z1099="Débit",$N1099=$N1098),$Q1098)),IF(OR(AND(OR($E1099&lt;&gt;"",$L1099=""),$M1099&lt;&gt;0),$A1099=""),IFERROR(VLOOKUP($E1099,Selection!$E:$F,2,false)),IFERROR(VLOOKUP(SUBSTITUTE($I1099,"-","",1),$K1100:$Q1119,7,false),VLOOKUP($K1099,$K1100:$Q1119,7,false))))</f>
        <v/>
      </c>
      <c r="R1099" s="49" t="str">
        <f t="shared" si="2"/>
        <v/>
      </c>
      <c r="S1099" s="51" t="str">
        <f t="shared" si="3"/>
        <v/>
      </c>
      <c r="T1099" s="52" t="str">
        <f t="shared" si="4"/>
        <v/>
      </c>
      <c r="U1099" s="46" t="str">
        <f t="shared" si="5"/>
        <v/>
      </c>
      <c r="V1099" s="53" t="str">
        <f>IFERROR(__xludf.DUMMYFUNCTION(" IF(Account!$F1099&lt;&gt;"""", SPLIT(Account!$F1099, "" ""), """")"),"")</f>
        <v/>
      </c>
      <c r="W1099" s="54"/>
      <c r="X1099" s="54"/>
      <c r="Y1099" s="54"/>
      <c r="Z1099" s="54"/>
      <c r="AA1099" s="54"/>
      <c r="AB1099" s="54"/>
      <c r="AC1099" s="54"/>
      <c r="AD1099" s="54"/>
      <c r="AE1099" s="54"/>
      <c r="AF1099" s="54"/>
      <c r="AG1099" s="54"/>
      <c r="AH1099" s="54"/>
      <c r="AI1099" s="54"/>
      <c r="AJ1099" s="54"/>
    </row>
    <row r="1100">
      <c r="A1100" s="215"/>
      <c r="B1100" s="215"/>
      <c r="C1100" s="215"/>
      <c r="D1100" s="215"/>
      <c r="E1100" s="215"/>
      <c r="F1100" s="373"/>
      <c r="G1100" s="215"/>
      <c r="H1100" s="215"/>
      <c r="I1100" s="215"/>
      <c r="J1100" s="215"/>
      <c r="K1100" s="215"/>
      <c r="L1100" s="45" t="str">
        <f t="shared" si="1"/>
        <v/>
      </c>
      <c r="M1100" s="46" t="str">
        <f>IFERROR(__xludf.DUMMYFUNCTION("IF(Account!$F1100&lt;&gt;"""", VALUE(REGEXREPLACE($I1100, ""\,"", ""."")), """")"),"")</f>
        <v/>
      </c>
      <c r="N1100" s="47" t="str">
        <f>IF(Account!$F1100&lt;&gt;"", DATEVALUE(MID($A1100,4,3) &amp; LEFT($A1100,3) &amp; RIGHT($A1100,4)) + TIMEVALUE($B1100), "")</f>
        <v/>
      </c>
      <c r="O1100" s="48" t="str">
        <f>IF(Account!$F1100&lt;&gt;"", DATEVALUE(MID($A1100,4,3) &amp; LEFT($A1100,3) &amp; RIGHT($A1100,4)), "")</f>
        <v/>
      </c>
      <c r="P1100" s="49" t="str">
        <f>IFERROR(VLOOKUP($Q1100,Selection!$F:$G,2,false))</f>
        <v/>
      </c>
      <c r="Q1100" s="50" t="str">
        <f>IF(AND($X1100="change",$H1100="EUR"),IF(AND($Z1100="Crédit",$N1100=$N1101),$Q1101,IF(AND($Z1100="Débit",$N1100=$N1099),$Q1099)),IF(OR(AND(OR($E1100&lt;&gt;"",$L1100=""),$M1100&lt;&gt;0),$A1100=""),IFERROR(VLOOKUP($E1100,Selection!$E:$F,2,false)),IFERROR(VLOOKUP(SUBSTITUTE($I1100,"-","",1),$K1101:$Q1119,7,false),VLOOKUP($K1100,$K1101:$Q1119,7,false))))</f>
        <v/>
      </c>
      <c r="R1100" s="49" t="str">
        <f t="shared" si="2"/>
        <v/>
      </c>
      <c r="S1100" s="51" t="str">
        <f t="shared" si="3"/>
        <v/>
      </c>
      <c r="T1100" s="52" t="str">
        <f t="shared" si="4"/>
        <v/>
      </c>
      <c r="U1100" s="46" t="str">
        <f t="shared" si="5"/>
        <v/>
      </c>
      <c r="V1100" s="53" t="str">
        <f>IFERROR(__xludf.DUMMYFUNCTION(" IF(Account!$F1100&lt;&gt;"""", SPLIT(Account!$F1100, "" ""), """")"),"")</f>
        <v/>
      </c>
      <c r="W1100" s="54"/>
      <c r="X1100" s="54"/>
      <c r="Y1100" s="54"/>
      <c r="Z1100" s="54"/>
      <c r="AA1100" s="54"/>
      <c r="AB1100" s="54"/>
      <c r="AC1100" s="54"/>
      <c r="AD1100" s="54"/>
      <c r="AE1100" s="54"/>
      <c r="AF1100" s="54"/>
      <c r="AG1100" s="54"/>
      <c r="AH1100" s="54"/>
      <c r="AI1100" s="54"/>
      <c r="AJ1100" s="54"/>
    </row>
    <row r="1101">
      <c r="A1101" s="215"/>
      <c r="B1101" s="215"/>
      <c r="C1101" s="215"/>
      <c r="D1101" s="215"/>
      <c r="E1101" s="215"/>
      <c r="F1101" s="373"/>
      <c r="G1101" s="215"/>
      <c r="H1101" s="215"/>
      <c r="I1101" s="215"/>
      <c r="J1101" s="215"/>
      <c r="K1101" s="215"/>
      <c r="L1101" s="45" t="str">
        <f t="shared" si="1"/>
        <v/>
      </c>
      <c r="M1101" s="46" t="str">
        <f>IFERROR(__xludf.DUMMYFUNCTION("IF(Account!$F1101&lt;&gt;"""", VALUE(REGEXREPLACE($I1101, ""\,"", ""."")), """")"),"")</f>
        <v/>
      </c>
      <c r="N1101" s="47" t="str">
        <f>IF(Account!$F1101&lt;&gt;"", DATEVALUE(MID($A1101,4,3) &amp; LEFT($A1101,3) &amp; RIGHT($A1101,4)) + TIMEVALUE($B1101), "")</f>
        <v/>
      </c>
      <c r="O1101" s="48" t="str">
        <f>IF(Account!$F1101&lt;&gt;"", DATEVALUE(MID($A1101,4,3) &amp; LEFT($A1101,3) &amp; RIGHT($A1101,4)), "")</f>
        <v/>
      </c>
      <c r="P1101" s="49" t="str">
        <f>IFERROR(VLOOKUP($Q1101,Selection!$F:$G,2,false))</f>
        <v/>
      </c>
      <c r="Q1101" s="50" t="str">
        <f>IF(AND($X1101="change",$H1101="EUR"),IF(AND($Z1101="Crédit",$N1101=$N1102),$Q1102,IF(AND($Z1101="Débit",$N1101=$N1100),$Q1100)),IF(OR(AND(OR($E1101&lt;&gt;"",$L1101=""),$M1101&lt;&gt;0),$A1101=""),IFERROR(VLOOKUP($E1101,Selection!$E:$F,2,false)),IFERROR(VLOOKUP(SUBSTITUTE($I1101,"-","",1),$K1102:$Q1119,7,false),VLOOKUP($K1101,$K1102:$Q1119,7,false))))</f>
        <v/>
      </c>
      <c r="R1101" s="49" t="str">
        <f t="shared" si="2"/>
        <v/>
      </c>
      <c r="S1101" s="51" t="str">
        <f t="shared" si="3"/>
        <v/>
      </c>
      <c r="T1101" s="52" t="str">
        <f t="shared" si="4"/>
        <v/>
      </c>
      <c r="U1101" s="46" t="str">
        <f t="shared" si="5"/>
        <v/>
      </c>
      <c r="V1101" s="53" t="str">
        <f>IFERROR(__xludf.DUMMYFUNCTION(" IF(Account!$F1101&lt;&gt;"""", SPLIT(Account!$F1101, "" ""), """")"),"")</f>
        <v/>
      </c>
      <c r="W1101" s="54"/>
      <c r="X1101" s="54"/>
      <c r="Y1101" s="54"/>
      <c r="Z1101" s="54"/>
      <c r="AA1101" s="54"/>
      <c r="AB1101" s="54"/>
      <c r="AC1101" s="54"/>
      <c r="AD1101" s="54"/>
      <c r="AE1101" s="54"/>
      <c r="AF1101" s="54"/>
      <c r="AG1101" s="54"/>
      <c r="AH1101" s="54"/>
      <c r="AI1101" s="54"/>
      <c r="AJ1101" s="54"/>
    </row>
    <row r="1102">
      <c r="A1102" s="215"/>
      <c r="B1102" s="215"/>
      <c r="C1102" s="215"/>
      <c r="D1102" s="215"/>
      <c r="E1102" s="215"/>
      <c r="F1102" s="373"/>
      <c r="G1102" s="215"/>
      <c r="H1102" s="215"/>
      <c r="I1102" s="215"/>
      <c r="J1102" s="215"/>
      <c r="K1102" s="215"/>
      <c r="L1102" s="45" t="str">
        <f t="shared" si="1"/>
        <v/>
      </c>
      <c r="M1102" s="46" t="str">
        <f>IFERROR(__xludf.DUMMYFUNCTION("IF(Account!$F1102&lt;&gt;"""", VALUE(REGEXREPLACE($I1102, ""\,"", ""."")), """")"),"")</f>
        <v/>
      </c>
      <c r="N1102" s="47" t="str">
        <f>IF(Account!$F1102&lt;&gt;"", DATEVALUE(MID($A1102,4,3) &amp; LEFT($A1102,3) &amp; RIGHT($A1102,4)) + TIMEVALUE($B1102), "")</f>
        <v/>
      </c>
      <c r="O1102" s="48" t="str">
        <f>IF(Account!$F1102&lt;&gt;"", DATEVALUE(MID($A1102,4,3) &amp; LEFT($A1102,3) &amp; RIGHT($A1102,4)), "")</f>
        <v/>
      </c>
      <c r="P1102" s="49" t="str">
        <f>IFERROR(VLOOKUP($Q1102,Selection!$F:$G,2,false))</f>
        <v/>
      </c>
      <c r="Q1102" s="50" t="str">
        <f>IF(AND($X1102="change",$H1102="EUR"),IF(AND($Z1102="Crédit",$N1102=$N1103),$Q1103,IF(AND($Z1102="Débit",$N1102=$N1101),$Q1101)),IF(OR(AND(OR($E1102&lt;&gt;"",$L1102=""),$M1102&lt;&gt;0),$A1102=""),IFERROR(VLOOKUP($E1102,Selection!$E:$F,2,false)),IFERROR(VLOOKUP(SUBSTITUTE($I1102,"-","",1),$K1103:$Q1119,7,false),VLOOKUP($K1102,$K1103:$Q1119,7,false))))</f>
        <v/>
      </c>
      <c r="R1102" s="49" t="str">
        <f t="shared" si="2"/>
        <v/>
      </c>
      <c r="S1102" s="51" t="str">
        <f t="shared" si="3"/>
        <v/>
      </c>
      <c r="T1102" s="52" t="str">
        <f t="shared" si="4"/>
        <v/>
      </c>
      <c r="U1102" s="46" t="str">
        <f t="shared" si="5"/>
        <v/>
      </c>
      <c r="V1102" s="53" t="str">
        <f>IFERROR(__xludf.DUMMYFUNCTION(" IF(Account!$F1102&lt;&gt;"""", SPLIT(Account!$F1102, "" ""), """")"),"")</f>
        <v/>
      </c>
      <c r="W1102" s="54"/>
      <c r="X1102" s="54"/>
      <c r="Y1102" s="54"/>
      <c r="Z1102" s="54"/>
      <c r="AA1102" s="54"/>
      <c r="AB1102" s="54"/>
      <c r="AC1102" s="54"/>
      <c r="AD1102" s="54"/>
      <c r="AE1102" s="54"/>
      <c r="AF1102" s="54"/>
      <c r="AG1102" s="54"/>
      <c r="AH1102" s="54"/>
      <c r="AI1102" s="54"/>
      <c r="AJ1102" s="54"/>
    </row>
    <row r="1103">
      <c r="A1103" s="215"/>
      <c r="B1103" s="215"/>
      <c r="C1103" s="215"/>
      <c r="D1103" s="215"/>
      <c r="E1103" s="215"/>
      <c r="F1103" s="373"/>
      <c r="G1103" s="215"/>
      <c r="H1103" s="215"/>
      <c r="I1103" s="215"/>
      <c r="J1103" s="215"/>
      <c r="K1103" s="215"/>
      <c r="L1103" s="45" t="str">
        <f t="shared" si="1"/>
        <v/>
      </c>
      <c r="M1103" s="46" t="str">
        <f>IFERROR(__xludf.DUMMYFUNCTION("IF(Account!$F1103&lt;&gt;"""", VALUE(REGEXREPLACE($I1103, ""\,"", ""."")), """")"),"")</f>
        <v/>
      </c>
      <c r="N1103" s="47" t="str">
        <f>IF(Account!$F1103&lt;&gt;"", DATEVALUE(MID($A1103,4,3) &amp; LEFT($A1103,3) &amp; RIGHT($A1103,4)) + TIMEVALUE($B1103), "")</f>
        <v/>
      </c>
      <c r="O1103" s="48" t="str">
        <f>IF(Account!$F1103&lt;&gt;"", DATEVALUE(MID($A1103,4,3) &amp; LEFT($A1103,3) &amp; RIGHT($A1103,4)), "")</f>
        <v/>
      </c>
      <c r="P1103" s="49" t="str">
        <f>IFERROR(VLOOKUP($Q1103,Selection!$F:$G,2,false))</f>
        <v/>
      </c>
      <c r="Q1103" s="50" t="str">
        <f>IF(AND($X1103="change",$H1103="EUR"),IF(AND($Z1103="Crédit",$N1103=$N1104),$Q1104,IF(AND($Z1103="Débit",$N1103=$N1102),$Q1102)),IF(OR(AND(OR($E1103&lt;&gt;"",$L1103=""),$M1103&lt;&gt;0),$A1103=""),IFERROR(VLOOKUP($E1103,Selection!$E:$F,2,false)),IFERROR(VLOOKUP(SUBSTITUTE($I1103,"-","",1),$K1104:$Q1119,7,false),VLOOKUP($K1103,$K1104:$Q1119,7,false))))</f>
        <v/>
      </c>
      <c r="R1103" s="49" t="str">
        <f t="shared" si="2"/>
        <v/>
      </c>
      <c r="S1103" s="51" t="str">
        <f t="shared" si="3"/>
        <v/>
      </c>
      <c r="T1103" s="52" t="str">
        <f t="shared" si="4"/>
        <v/>
      </c>
      <c r="U1103" s="46" t="str">
        <f t="shared" si="5"/>
        <v/>
      </c>
      <c r="V1103" s="53" t="str">
        <f>IFERROR(__xludf.DUMMYFUNCTION(" IF(Account!$F1103&lt;&gt;"""", SPLIT(Account!$F1103, "" ""), """")"),"")</f>
        <v/>
      </c>
      <c r="W1103" s="54"/>
      <c r="X1103" s="54"/>
      <c r="Y1103" s="54"/>
      <c r="Z1103" s="54"/>
      <c r="AA1103" s="54"/>
      <c r="AB1103" s="54"/>
      <c r="AC1103" s="54"/>
      <c r="AD1103" s="54"/>
      <c r="AE1103" s="54"/>
      <c r="AF1103" s="54"/>
      <c r="AG1103" s="54"/>
      <c r="AH1103" s="54"/>
      <c r="AI1103" s="54"/>
      <c r="AJ1103" s="54"/>
    </row>
    <row r="1104">
      <c r="A1104" s="215"/>
      <c r="B1104" s="215"/>
      <c r="C1104" s="215"/>
      <c r="D1104" s="215"/>
      <c r="E1104" s="215"/>
      <c r="F1104" s="373"/>
      <c r="G1104" s="215"/>
      <c r="H1104" s="215"/>
      <c r="I1104" s="215"/>
      <c r="J1104" s="215"/>
      <c r="K1104" s="215"/>
      <c r="L1104" s="45" t="str">
        <f t="shared" si="1"/>
        <v/>
      </c>
      <c r="M1104" s="46" t="str">
        <f>IFERROR(__xludf.DUMMYFUNCTION("IF(Account!$F1104&lt;&gt;"""", VALUE(REGEXREPLACE($I1104, ""\,"", ""."")), """")"),"")</f>
        <v/>
      </c>
      <c r="N1104" s="47" t="str">
        <f>IF(Account!$F1104&lt;&gt;"", DATEVALUE(MID($A1104,4,3) &amp; LEFT($A1104,3) &amp; RIGHT($A1104,4)) + TIMEVALUE($B1104), "")</f>
        <v/>
      </c>
      <c r="O1104" s="48" t="str">
        <f>IF(Account!$F1104&lt;&gt;"", DATEVALUE(MID($A1104,4,3) &amp; LEFT($A1104,3) &amp; RIGHT($A1104,4)), "")</f>
        <v/>
      </c>
      <c r="P1104" s="49" t="str">
        <f>IFERROR(VLOOKUP($Q1104,Selection!$F:$G,2,false))</f>
        <v/>
      </c>
      <c r="Q1104" s="50" t="str">
        <f>IF(AND($X1104="change",$H1104="EUR"),IF(AND($Z1104="Crédit",$N1104=$N1105),$Q1105,IF(AND($Z1104="Débit",$N1104=$N1103),$Q1103)),IF(OR(AND(OR($E1104&lt;&gt;"",$L1104=""),$M1104&lt;&gt;0),$A1104=""),IFERROR(VLOOKUP($E1104,Selection!$E:$F,2,false)),IFERROR(VLOOKUP(SUBSTITUTE($I1104,"-","",1),$K1105:$Q1119,7,false),VLOOKUP($K1104,$K1105:$Q1119,7,false))))</f>
        <v/>
      </c>
      <c r="R1104" s="49" t="str">
        <f t="shared" si="2"/>
        <v/>
      </c>
      <c r="S1104" s="51" t="str">
        <f t="shared" si="3"/>
        <v/>
      </c>
      <c r="T1104" s="52" t="str">
        <f t="shared" si="4"/>
        <v/>
      </c>
      <c r="U1104" s="46" t="str">
        <f t="shared" si="5"/>
        <v/>
      </c>
      <c r="V1104" s="53" t="str">
        <f>IFERROR(__xludf.DUMMYFUNCTION(" IF(Account!$F1104&lt;&gt;"""", SPLIT(Account!$F1104, "" ""), """")"),"")</f>
        <v/>
      </c>
      <c r="W1104" s="54"/>
      <c r="X1104" s="54"/>
      <c r="Y1104" s="54"/>
      <c r="Z1104" s="54"/>
      <c r="AA1104" s="54"/>
      <c r="AB1104" s="54"/>
      <c r="AC1104" s="54"/>
      <c r="AD1104" s="54"/>
      <c r="AE1104" s="54"/>
      <c r="AF1104" s="54"/>
      <c r="AG1104" s="54"/>
      <c r="AH1104" s="54"/>
      <c r="AI1104" s="54"/>
      <c r="AJ1104" s="54"/>
    </row>
    <row r="1105">
      <c r="A1105" s="215"/>
      <c r="B1105" s="215"/>
      <c r="C1105" s="215"/>
      <c r="D1105" s="215"/>
      <c r="E1105" s="215"/>
      <c r="F1105" s="373"/>
      <c r="G1105" s="215"/>
      <c r="H1105" s="215"/>
      <c r="I1105" s="215"/>
      <c r="J1105" s="215"/>
      <c r="K1105" s="215"/>
      <c r="L1105" s="45" t="str">
        <f t="shared" si="1"/>
        <v/>
      </c>
      <c r="M1105" s="46" t="str">
        <f>IFERROR(__xludf.DUMMYFUNCTION("IF(Account!$F1105&lt;&gt;"""", VALUE(REGEXREPLACE($I1105, ""\,"", ""."")), """")"),"")</f>
        <v/>
      </c>
      <c r="N1105" s="47" t="str">
        <f>IF(Account!$F1105&lt;&gt;"", DATEVALUE(MID($A1105,4,3) &amp; LEFT($A1105,3) &amp; RIGHT($A1105,4)) + TIMEVALUE($B1105), "")</f>
        <v/>
      </c>
      <c r="O1105" s="48" t="str">
        <f>IF(Account!$F1105&lt;&gt;"", DATEVALUE(MID($A1105,4,3) &amp; LEFT($A1105,3) &amp; RIGHT($A1105,4)), "")</f>
        <v/>
      </c>
      <c r="P1105" s="49" t="str">
        <f>IFERROR(VLOOKUP($Q1105,Selection!$F:$G,2,false))</f>
        <v/>
      </c>
      <c r="Q1105" s="50" t="str">
        <f>IF(AND($X1105="change",$H1105="EUR"),IF(AND($Z1105="Crédit",$N1105=$N1106),$Q1106,IF(AND($Z1105="Débit",$N1105=$N1104),$Q1104)),IF(OR(AND(OR($E1105&lt;&gt;"",$L1105=""),$M1105&lt;&gt;0),$A1105=""),IFERROR(VLOOKUP($E1105,Selection!$E:$F,2,false)),IFERROR(VLOOKUP(SUBSTITUTE($I1105,"-","",1),$K1106:$Q1119,7,false),VLOOKUP($K1105,$K1106:$Q1119,7,false))))</f>
        <v/>
      </c>
      <c r="R1105" s="49" t="str">
        <f t="shared" si="2"/>
        <v/>
      </c>
      <c r="S1105" s="51" t="str">
        <f t="shared" si="3"/>
        <v/>
      </c>
      <c r="T1105" s="52" t="str">
        <f t="shared" si="4"/>
        <v/>
      </c>
      <c r="U1105" s="46" t="str">
        <f t="shared" si="5"/>
        <v/>
      </c>
      <c r="V1105" s="53" t="str">
        <f>IFERROR(__xludf.DUMMYFUNCTION(" IF(Account!$F1105&lt;&gt;"""", SPLIT(Account!$F1105, "" ""), """")"),"")</f>
        <v/>
      </c>
      <c r="W1105" s="54"/>
      <c r="X1105" s="54"/>
      <c r="Y1105" s="54"/>
      <c r="Z1105" s="54"/>
      <c r="AA1105" s="54"/>
      <c r="AB1105" s="54"/>
      <c r="AC1105" s="54"/>
      <c r="AD1105" s="54"/>
      <c r="AE1105" s="54"/>
      <c r="AF1105" s="54"/>
      <c r="AG1105" s="54"/>
      <c r="AH1105" s="54"/>
      <c r="AI1105" s="54"/>
      <c r="AJ1105" s="54"/>
    </row>
    <row r="1106">
      <c r="A1106" s="215"/>
      <c r="B1106" s="215"/>
      <c r="C1106" s="215"/>
      <c r="D1106" s="215"/>
      <c r="E1106" s="215"/>
      <c r="F1106" s="373"/>
      <c r="G1106" s="215"/>
      <c r="H1106" s="215"/>
      <c r="I1106" s="215"/>
      <c r="J1106" s="215"/>
      <c r="K1106" s="215"/>
      <c r="L1106" s="45" t="str">
        <f t="shared" si="1"/>
        <v/>
      </c>
      <c r="M1106" s="46" t="str">
        <f>IFERROR(__xludf.DUMMYFUNCTION("IF(Account!$F1106&lt;&gt;"""", VALUE(REGEXREPLACE($I1106, ""\,"", ""."")), """")"),"")</f>
        <v/>
      </c>
      <c r="N1106" s="47" t="str">
        <f>IF(Account!$F1106&lt;&gt;"", DATEVALUE(MID($A1106,4,3) &amp; LEFT($A1106,3) &amp; RIGHT($A1106,4)) + TIMEVALUE($B1106), "")</f>
        <v/>
      </c>
      <c r="O1106" s="48" t="str">
        <f>IF(Account!$F1106&lt;&gt;"", DATEVALUE(MID($A1106,4,3) &amp; LEFT($A1106,3) &amp; RIGHT($A1106,4)), "")</f>
        <v/>
      </c>
      <c r="P1106" s="49" t="str">
        <f>IFERROR(VLOOKUP($Q1106,Selection!$F:$G,2,false))</f>
        <v/>
      </c>
      <c r="Q1106" s="50" t="str">
        <f>IF(AND($X1106="change",$H1106="EUR"),IF(AND($Z1106="Crédit",$N1106=$N1107),$Q1107,IF(AND($Z1106="Débit",$N1106=$N1105),$Q1105)),IF(OR(AND(OR($E1106&lt;&gt;"",$L1106=""),$M1106&lt;&gt;0),$A1106=""),IFERROR(VLOOKUP($E1106,Selection!$E:$F,2,false)),IFERROR(VLOOKUP(SUBSTITUTE($I1106,"-","",1),$K1107:$Q1119,7,false),VLOOKUP($K1106,$K1107:$Q1119,7,false))))</f>
        <v/>
      </c>
      <c r="R1106" s="49" t="str">
        <f t="shared" si="2"/>
        <v/>
      </c>
      <c r="S1106" s="51" t="str">
        <f t="shared" si="3"/>
        <v/>
      </c>
      <c r="T1106" s="52" t="str">
        <f t="shared" si="4"/>
        <v/>
      </c>
      <c r="U1106" s="46" t="str">
        <f t="shared" si="5"/>
        <v/>
      </c>
      <c r="V1106" s="53" t="str">
        <f>IFERROR(__xludf.DUMMYFUNCTION(" IF(Account!$F1106&lt;&gt;"""", SPLIT(Account!$F1106, "" ""), """")"),"")</f>
        <v/>
      </c>
      <c r="W1106" s="54"/>
      <c r="X1106" s="54"/>
      <c r="Y1106" s="54"/>
      <c r="Z1106" s="54"/>
      <c r="AA1106" s="54"/>
      <c r="AB1106" s="54"/>
      <c r="AC1106" s="54"/>
      <c r="AD1106" s="54"/>
      <c r="AE1106" s="54"/>
      <c r="AF1106" s="54"/>
      <c r="AG1106" s="54"/>
      <c r="AH1106" s="54"/>
      <c r="AI1106" s="54"/>
      <c r="AJ1106" s="54"/>
    </row>
    <row r="1107">
      <c r="A1107" s="215"/>
      <c r="B1107" s="215"/>
      <c r="C1107" s="215"/>
      <c r="D1107" s="215"/>
      <c r="E1107" s="215"/>
      <c r="F1107" s="373"/>
      <c r="G1107" s="215"/>
      <c r="H1107" s="215"/>
      <c r="I1107" s="215"/>
      <c r="J1107" s="215"/>
      <c r="K1107" s="215"/>
      <c r="L1107" s="45" t="str">
        <f t="shared" si="1"/>
        <v/>
      </c>
      <c r="M1107" s="46" t="str">
        <f>IFERROR(__xludf.DUMMYFUNCTION("IF(Account!$F1107&lt;&gt;"""", VALUE(REGEXREPLACE($I1107, ""\,"", ""."")), """")"),"")</f>
        <v/>
      </c>
      <c r="N1107" s="47" t="str">
        <f>IF(Account!$F1107&lt;&gt;"", DATEVALUE(MID($A1107,4,3) &amp; LEFT($A1107,3) &amp; RIGHT($A1107,4)) + TIMEVALUE($B1107), "")</f>
        <v/>
      </c>
      <c r="O1107" s="48" t="str">
        <f>IF(Account!$F1107&lt;&gt;"", DATEVALUE(MID($A1107,4,3) &amp; LEFT($A1107,3) &amp; RIGHT($A1107,4)), "")</f>
        <v/>
      </c>
      <c r="P1107" s="49" t="str">
        <f>IFERROR(VLOOKUP($Q1107,Selection!$F:$G,2,false))</f>
        <v/>
      </c>
      <c r="Q1107" s="50" t="str">
        <f>IF(AND($X1107="change",$H1107="EUR"),IF(AND($Z1107="Crédit",$N1107=$N1108),$Q1108,IF(AND($Z1107="Débit",$N1107=$N1106),$Q1106)),IF(OR(AND(OR($E1107&lt;&gt;"",$L1107=""),$M1107&lt;&gt;0),$A1107=""),IFERROR(VLOOKUP($E1107,Selection!$E:$F,2,false)),IFERROR(VLOOKUP(SUBSTITUTE($I1107,"-","",1),$K1108:$Q1119,7,false),VLOOKUP($K1107,$K1108:$Q1119,7,false))))</f>
        <v/>
      </c>
      <c r="R1107" s="49" t="str">
        <f t="shared" si="2"/>
        <v/>
      </c>
      <c r="S1107" s="51" t="str">
        <f t="shared" si="3"/>
        <v/>
      </c>
      <c r="T1107" s="52" t="str">
        <f t="shared" si="4"/>
        <v/>
      </c>
      <c r="U1107" s="46" t="str">
        <f t="shared" si="5"/>
        <v/>
      </c>
      <c r="V1107" s="53" t="str">
        <f>IFERROR(__xludf.DUMMYFUNCTION(" IF(Account!$F1107&lt;&gt;"""", SPLIT(Account!$F1107, "" ""), """")"),"")</f>
        <v/>
      </c>
      <c r="W1107" s="54"/>
      <c r="X1107" s="54"/>
      <c r="Y1107" s="54"/>
      <c r="Z1107" s="54"/>
      <c r="AA1107" s="54"/>
      <c r="AB1107" s="54"/>
      <c r="AC1107" s="54"/>
      <c r="AD1107" s="54"/>
      <c r="AE1107" s="54"/>
      <c r="AF1107" s="54"/>
      <c r="AG1107" s="54"/>
      <c r="AH1107" s="54"/>
      <c r="AI1107" s="54"/>
      <c r="AJ1107" s="54"/>
    </row>
    <row r="1108">
      <c r="A1108" s="215"/>
      <c r="B1108" s="215"/>
      <c r="C1108" s="215"/>
      <c r="D1108" s="215"/>
      <c r="E1108" s="215"/>
      <c r="F1108" s="373"/>
      <c r="G1108" s="215"/>
      <c r="H1108" s="215"/>
      <c r="I1108" s="215"/>
      <c r="J1108" s="215"/>
      <c r="K1108" s="215"/>
      <c r="L1108" s="45" t="str">
        <f t="shared" si="1"/>
        <v/>
      </c>
      <c r="M1108" s="46" t="str">
        <f>IFERROR(__xludf.DUMMYFUNCTION("IF(Account!$F1108&lt;&gt;"""", VALUE(REGEXREPLACE($I1108, ""\,"", ""."")), """")"),"")</f>
        <v/>
      </c>
      <c r="N1108" s="47" t="str">
        <f>IF(Account!$F1108&lt;&gt;"", DATEVALUE(MID($A1108,4,3) &amp; LEFT($A1108,3) &amp; RIGHT($A1108,4)) + TIMEVALUE($B1108), "")</f>
        <v/>
      </c>
      <c r="O1108" s="48" t="str">
        <f>IF(Account!$F1108&lt;&gt;"", DATEVALUE(MID($A1108,4,3) &amp; LEFT($A1108,3) &amp; RIGHT($A1108,4)), "")</f>
        <v/>
      </c>
      <c r="P1108" s="49" t="str">
        <f>IFERROR(VLOOKUP($Q1108,Selection!$F:$G,2,false))</f>
        <v/>
      </c>
      <c r="Q1108" s="50" t="str">
        <f>IF(AND($X1108="change",$H1108="EUR"),IF(AND($Z1108="Crédit",$N1108=$N1109),$Q1109,IF(AND($Z1108="Débit",$N1108=$N1107),$Q1107)),IF(OR(AND(OR($E1108&lt;&gt;"",$L1108=""),$M1108&lt;&gt;0),$A1108=""),IFERROR(VLOOKUP($E1108,Selection!$E:$F,2,false)),IFERROR(VLOOKUP(SUBSTITUTE($I1108,"-","",1),$K1109:$Q1119,7,false),VLOOKUP($K1108,$K1109:$Q1119,7,false))))</f>
        <v/>
      </c>
      <c r="R1108" s="49" t="str">
        <f t="shared" si="2"/>
        <v/>
      </c>
      <c r="S1108" s="51" t="str">
        <f t="shared" si="3"/>
        <v/>
      </c>
      <c r="T1108" s="52" t="str">
        <f t="shared" si="4"/>
        <v/>
      </c>
      <c r="U1108" s="46" t="str">
        <f t="shared" si="5"/>
        <v/>
      </c>
      <c r="V1108" s="53" t="str">
        <f>IFERROR(__xludf.DUMMYFUNCTION(" IF(Account!$F1108&lt;&gt;"""", SPLIT(Account!$F1108, "" ""), """")"),"")</f>
        <v/>
      </c>
      <c r="W1108" s="54"/>
      <c r="X1108" s="54"/>
      <c r="Y1108" s="54"/>
      <c r="Z1108" s="54"/>
      <c r="AA1108" s="54"/>
      <c r="AB1108" s="54"/>
      <c r="AC1108" s="54"/>
      <c r="AD1108" s="54"/>
      <c r="AE1108" s="54"/>
      <c r="AF1108" s="54"/>
      <c r="AG1108" s="54"/>
      <c r="AH1108" s="54"/>
      <c r="AI1108" s="54"/>
      <c r="AJ1108" s="54"/>
    </row>
    <row r="1109">
      <c r="A1109" s="215"/>
      <c r="B1109" s="215"/>
      <c r="C1109" s="215"/>
      <c r="D1109" s="215"/>
      <c r="E1109" s="215"/>
      <c r="F1109" s="373"/>
      <c r="G1109" s="215"/>
      <c r="H1109" s="215"/>
      <c r="I1109" s="215"/>
      <c r="J1109" s="215"/>
      <c r="K1109" s="215"/>
      <c r="L1109" s="45" t="str">
        <f t="shared" si="1"/>
        <v/>
      </c>
      <c r="M1109" s="46" t="str">
        <f>IFERROR(__xludf.DUMMYFUNCTION("IF(Account!$F1109&lt;&gt;"""", VALUE(REGEXREPLACE($I1109, ""\,"", ""."")), """")"),"")</f>
        <v/>
      </c>
      <c r="N1109" s="47" t="str">
        <f>IF(Account!$F1109&lt;&gt;"", DATEVALUE(MID($A1109,4,3) &amp; LEFT($A1109,3) &amp; RIGHT($A1109,4)) + TIMEVALUE($B1109), "")</f>
        <v/>
      </c>
      <c r="O1109" s="48" t="str">
        <f>IF(Account!$F1109&lt;&gt;"", DATEVALUE(MID($A1109,4,3) &amp; LEFT($A1109,3) &amp; RIGHT($A1109,4)), "")</f>
        <v/>
      </c>
      <c r="P1109" s="49" t="str">
        <f>IFERROR(VLOOKUP($Q1109,Selection!$F:$G,2,false))</f>
        <v/>
      </c>
      <c r="Q1109" s="50" t="str">
        <f>IF(AND($X1109="change",$H1109="EUR"),IF(AND($Z1109="Crédit",$N1109=$N1110),$Q1110,IF(AND($Z1109="Débit",$N1109=$N1108),$Q1108)),IF(OR(AND(OR($E1109&lt;&gt;"",$L1109=""),$M1109&lt;&gt;0),$A1109=""),IFERROR(VLOOKUP($E1109,Selection!$E:$F,2,false)),IFERROR(VLOOKUP(SUBSTITUTE($I1109,"-","",1),$K1110:$Q1119,7,false),VLOOKUP($K1109,$K1110:$Q1119,7,false))))</f>
        <v/>
      </c>
      <c r="R1109" s="49" t="str">
        <f t="shared" si="2"/>
        <v/>
      </c>
      <c r="S1109" s="51" t="str">
        <f t="shared" si="3"/>
        <v/>
      </c>
      <c r="T1109" s="52" t="str">
        <f t="shared" si="4"/>
        <v/>
      </c>
      <c r="U1109" s="46" t="str">
        <f t="shared" si="5"/>
        <v/>
      </c>
      <c r="V1109" s="53" t="str">
        <f>IFERROR(__xludf.DUMMYFUNCTION(" IF(Account!$F1109&lt;&gt;"""", SPLIT(Account!$F1109, "" ""), """")"),"")</f>
        <v/>
      </c>
      <c r="W1109" s="54"/>
      <c r="X1109" s="54"/>
      <c r="Y1109" s="54"/>
      <c r="Z1109" s="54"/>
      <c r="AA1109" s="54"/>
      <c r="AB1109" s="54"/>
      <c r="AC1109" s="54"/>
      <c r="AD1109" s="54"/>
      <c r="AE1109" s="54"/>
      <c r="AF1109" s="54"/>
      <c r="AG1109" s="54"/>
      <c r="AH1109" s="54"/>
      <c r="AI1109" s="54"/>
      <c r="AJ1109" s="54"/>
    </row>
    <row r="1110">
      <c r="A1110" s="215"/>
      <c r="B1110" s="215"/>
      <c r="C1110" s="215"/>
      <c r="D1110" s="215"/>
      <c r="E1110" s="215"/>
      <c r="F1110" s="373"/>
      <c r="G1110" s="215"/>
      <c r="H1110" s="215"/>
      <c r="I1110" s="215"/>
      <c r="J1110" s="215"/>
      <c r="K1110" s="215"/>
      <c r="L1110" s="45" t="str">
        <f t="shared" si="1"/>
        <v/>
      </c>
      <c r="M1110" s="46" t="str">
        <f>IFERROR(__xludf.DUMMYFUNCTION("IF(Account!$F1110&lt;&gt;"""", VALUE(REGEXREPLACE($I1110, ""\,"", ""."")), """")"),"")</f>
        <v/>
      </c>
      <c r="N1110" s="47" t="str">
        <f>IF(Account!$F1110&lt;&gt;"", DATEVALUE(MID($A1110,4,3) &amp; LEFT($A1110,3) &amp; RIGHT($A1110,4)) + TIMEVALUE($B1110), "")</f>
        <v/>
      </c>
      <c r="O1110" s="48" t="str">
        <f>IF(Account!$F1110&lt;&gt;"", DATEVALUE(MID($A1110,4,3) &amp; LEFT($A1110,3) &amp; RIGHT($A1110,4)), "")</f>
        <v/>
      </c>
      <c r="P1110" s="49" t="str">
        <f>IFERROR(VLOOKUP($Q1110,Selection!$F:$G,2,false))</f>
        <v/>
      </c>
      <c r="Q1110" s="50" t="str">
        <f>IF(AND($X1110="change",$H1110="EUR"),IF(AND($Z1110="Crédit",$N1110=$N1111),$Q1111,IF(AND($Z1110="Débit",$N1110=$N1109),$Q1109)),IF(OR(AND(OR($E1110&lt;&gt;"",$L1110=""),$M1110&lt;&gt;0),$A1110=""),IFERROR(VLOOKUP($E1110,Selection!$E:$F,2,false)),IFERROR(VLOOKUP(SUBSTITUTE($I1110,"-","",1),$K1111:$Q1119,7,false),VLOOKUP($K1110,$K1111:$Q1119,7,false))))</f>
        <v/>
      </c>
      <c r="R1110" s="49" t="str">
        <f t="shared" si="2"/>
        <v/>
      </c>
      <c r="S1110" s="51" t="str">
        <f t="shared" si="3"/>
        <v/>
      </c>
      <c r="T1110" s="52" t="str">
        <f t="shared" si="4"/>
        <v/>
      </c>
      <c r="U1110" s="46" t="str">
        <f t="shared" si="5"/>
        <v/>
      </c>
      <c r="V1110" s="53" t="str">
        <f>IFERROR(__xludf.DUMMYFUNCTION(" IF(Account!$F1110&lt;&gt;"""", SPLIT(Account!$F1110, "" ""), """")"),"")</f>
        <v/>
      </c>
      <c r="W1110" s="54"/>
      <c r="X1110" s="54"/>
      <c r="Y1110" s="54"/>
      <c r="Z1110" s="54"/>
      <c r="AA1110" s="54"/>
      <c r="AB1110" s="54"/>
      <c r="AC1110" s="54"/>
      <c r="AD1110" s="54"/>
      <c r="AE1110" s="54"/>
      <c r="AF1110" s="54"/>
      <c r="AG1110" s="54"/>
      <c r="AH1110" s="54"/>
      <c r="AI1110" s="54"/>
      <c r="AJ1110" s="54"/>
    </row>
    <row r="1111">
      <c r="A1111" s="215"/>
      <c r="B1111" s="215"/>
      <c r="C1111" s="215"/>
      <c r="D1111" s="215"/>
      <c r="E1111" s="215"/>
      <c r="F1111" s="373"/>
      <c r="G1111" s="215"/>
      <c r="H1111" s="215"/>
      <c r="I1111" s="215"/>
      <c r="J1111" s="215"/>
      <c r="K1111" s="215"/>
      <c r="L1111" s="45" t="str">
        <f t="shared" si="1"/>
        <v/>
      </c>
      <c r="M1111" s="46" t="str">
        <f>IFERROR(__xludf.DUMMYFUNCTION("IF(Account!$F1111&lt;&gt;"""", VALUE(REGEXREPLACE($I1111, ""\,"", ""."")), """")"),"")</f>
        <v/>
      </c>
      <c r="N1111" s="47" t="str">
        <f>IF(Account!$F1111&lt;&gt;"", DATEVALUE(MID($A1111,4,3) &amp; LEFT($A1111,3) &amp; RIGHT($A1111,4)) + TIMEVALUE($B1111), "")</f>
        <v/>
      </c>
      <c r="O1111" s="48" t="str">
        <f>IF(Account!$F1111&lt;&gt;"", DATEVALUE(MID($A1111,4,3) &amp; LEFT($A1111,3) &amp; RIGHT($A1111,4)), "")</f>
        <v/>
      </c>
      <c r="P1111" s="49" t="str">
        <f>IFERROR(VLOOKUP($Q1111,Selection!$F:$G,2,false))</f>
        <v/>
      </c>
      <c r="Q1111" s="50" t="str">
        <f>IF(AND($X1111="change",$H1111="EUR"),IF(AND($Z1111="Crédit",$N1111=$N1112),$Q1112,IF(AND($Z1111="Débit",$N1111=$N1110),$Q1110)),IF(OR(AND(OR($E1111&lt;&gt;"",$L1111=""),$M1111&lt;&gt;0),$A1111=""),IFERROR(VLOOKUP($E1111,Selection!$E:$F,2,false)),IFERROR(VLOOKUP(SUBSTITUTE($I1111,"-","",1),$K1112:$Q1119,7,false),VLOOKUP($K1111,$K1112:$Q1119,7,false))))</f>
        <v/>
      </c>
      <c r="R1111" s="49" t="str">
        <f t="shared" si="2"/>
        <v/>
      </c>
      <c r="S1111" s="51" t="str">
        <f t="shared" si="3"/>
        <v/>
      </c>
      <c r="T1111" s="52" t="str">
        <f t="shared" si="4"/>
        <v/>
      </c>
      <c r="U1111" s="46" t="str">
        <f t="shared" si="5"/>
        <v/>
      </c>
      <c r="V1111" s="53" t="str">
        <f>IFERROR(__xludf.DUMMYFUNCTION(" IF(Account!$F1111&lt;&gt;"""", SPLIT(Account!$F1111, "" ""), """")"),"")</f>
        <v/>
      </c>
      <c r="W1111" s="54"/>
      <c r="X1111" s="54"/>
      <c r="Y1111" s="54"/>
      <c r="Z1111" s="54"/>
      <c r="AA1111" s="54"/>
      <c r="AB1111" s="54"/>
      <c r="AC1111" s="54"/>
      <c r="AD1111" s="54"/>
      <c r="AE1111" s="54"/>
      <c r="AF1111" s="54"/>
      <c r="AG1111" s="54"/>
      <c r="AH1111" s="54"/>
      <c r="AI1111" s="54"/>
      <c r="AJ1111" s="54"/>
    </row>
    <row r="1112">
      <c r="A1112" s="215"/>
      <c r="B1112" s="215"/>
      <c r="C1112" s="215"/>
      <c r="D1112" s="215"/>
      <c r="E1112" s="215"/>
      <c r="F1112" s="373"/>
      <c r="G1112" s="215"/>
      <c r="H1112" s="215"/>
      <c r="I1112" s="215"/>
      <c r="J1112" s="215"/>
      <c r="K1112" s="215"/>
      <c r="L1112" s="45" t="str">
        <f t="shared" si="1"/>
        <v/>
      </c>
      <c r="M1112" s="46" t="str">
        <f>IFERROR(__xludf.DUMMYFUNCTION("IF(Account!$F1112&lt;&gt;"""", VALUE(REGEXREPLACE($I1112, ""\,"", ""."")), """")"),"")</f>
        <v/>
      </c>
      <c r="N1112" s="47" t="str">
        <f>IF(Account!$F1112&lt;&gt;"", DATEVALUE(MID($A1112,4,3) &amp; LEFT($A1112,3) &amp; RIGHT($A1112,4)) + TIMEVALUE($B1112), "")</f>
        <v/>
      </c>
      <c r="O1112" s="48" t="str">
        <f>IF(Account!$F1112&lt;&gt;"", DATEVALUE(MID($A1112,4,3) &amp; LEFT($A1112,3) &amp; RIGHT($A1112,4)), "")</f>
        <v/>
      </c>
      <c r="P1112" s="49" t="str">
        <f>IFERROR(VLOOKUP($Q1112,Selection!$F:$G,2,false))</f>
        <v/>
      </c>
      <c r="Q1112" s="50" t="str">
        <f>IF(AND($X1112="change",$H1112="EUR"),IF(AND($Z1112="Crédit",$N1112=$N1113),$Q1113,IF(AND($Z1112="Débit",$N1112=$N1111),$Q1111)),IF(OR(AND(OR($E1112&lt;&gt;"",$L1112=""),$M1112&lt;&gt;0),$A1112=""),IFERROR(VLOOKUP($E1112,Selection!$E:$F,2,false)),IFERROR(VLOOKUP(SUBSTITUTE($I1112,"-","",1),$K1113:$Q1119,7,false),VLOOKUP($K1112,$K1113:$Q1119,7,false))))</f>
        <v/>
      </c>
      <c r="R1112" s="49" t="str">
        <f t="shared" si="2"/>
        <v/>
      </c>
      <c r="S1112" s="51" t="str">
        <f t="shared" si="3"/>
        <v/>
      </c>
      <c r="T1112" s="52" t="str">
        <f t="shared" si="4"/>
        <v/>
      </c>
      <c r="U1112" s="46" t="str">
        <f t="shared" si="5"/>
        <v/>
      </c>
      <c r="V1112" s="53" t="str">
        <f>IFERROR(__xludf.DUMMYFUNCTION(" IF(Account!$F1112&lt;&gt;"""", SPLIT(Account!$F1112, "" ""), """")"),"")</f>
        <v/>
      </c>
      <c r="W1112" s="54"/>
      <c r="X1112" s="54"/>
      <c r="Y1112" s="54"/>
      <c r="Z1112" s="54"/>
      <c r="AA1112" s="54"/>
      <c r="AB1112" s="54"/>
      <c r="AC1112" s="54"/>
      <c r="AD1112" s="54"/>
      <c r="AE1112" s="54"/>
      <c r="AF1112" s="54"/>
      <c r="AG1112" s="54"/>
      <c r="AH1112" s="54"/>
      <c r="AI1112" s="54"/>
      <c r="AJ1112" s="54"/>
    </row>
    <row r="1113">
      <c r="A1113" s="215"/>
      <c r="B1113" s="215"/>
      <c r="C1113" s="215"/>
      <c r="D1113" s="215"/>
      <c r="E1113" s="215"/>
      <c r="F1113" s="373"/>
      <c r="G1113" s="215"/>
      <c r="H1113" s="215"/>
      <c r="I1113" s="215"/>
      <c r="J1113" s="215"/>
      <c r="K1113" s="215"/>
      <c r="L1113" s="45" t="str">
        <f t="shared" si="1"/>
        <v/>
      </c>
      <c r="M1113" s="46" t="str">
        <f>IFERROR(__xludf.DUMMYFUNCTION("IF(Account!$F1113&lt;&gt;"""", VALUE(REGEXREPLACE($I1113, ""\,"", ""."")), """")"),"")</f>
        <v/>
      </c>
      <c r="N1113" s="47" t="str">
        <f>IF(Account!$F1113&lt;&gt;"", DATEVALUE(MID($A1113,4,3) &amp; LEFT($A1113,3) &amp; RIGHT($A1113,4)) + TIMEVALUE($B1113), "")</f>
        <v/>
      </c>
      <c r="O1113" s="48" t="str">
        <f>IF(Account!$F1113&lt;&gt;"", DATEVALUE(MID($A1113,4,3) &amp; LEFT($A1113,3) &amp; RIGHT($A1113,4)), "")</f>
        <v/>
      </c>
      <c r="P1113" s="49" t="str">
        <f>IFERROR(VLOOKUP($Q1113,Selection!$F:$G,2,false))</f>
        <v/>
      </c>
      <c r="Q1113" s="50" t="str">
        <f>IF(AND($X1113="change",$H1113="EUR"),IF(AND($Z1113="Crédit",$N1113=$N1114),$Q1114,IF(AND($Z1113="Débit",$N1113=$N1112),$Q1112)),IF(OR(AND(OR($E1113&lt;&gt;"",$L1113=""),$M1113&lt;&gt;0),$A1113=""),IFERROR(VLOOKUP($E1113,Selection!$E:$F,2,false)),IFERROR(VLOOKUP(SUBSTITUTE($I1113,"-","",1),$K1114:$Q1119,7,false),VLOOKUP($K1113,$K1114:$Q1119,7,false))))</f>
        <v/>
      </c>
      <c r="R1113" s="49" t="str">
        <f t="shared" si="2"/>
        <v/>
      </c>
      <c r="S1113" s="51" t="str">
        <f t="shared" si="3"/>
        <v/>
      </c>
      <c r="T1113" s="52" t="str">
        <f t="shared" si="4"/>
        <v/>
      </c>
      <c r="U1113" s="46" t="str">
        <f t="shared" si="5"/>
        <v/>
      </c>
      <c r="V1113" s="53" t="str">
        <f>IFERROR(__xludf.DUMMYFUNCTION(" IF(Account!$F1113&lt;&gt;"""", SPLIT(Account!$F1113, "" ""), """")"),"")</f>
        <v/>
      </c>
      <c r="W1113" s="54"/>
      <c r="X1113" s="54"/>
      <c r="Y1113" s="54"/>
      <c r="Z1113" s="54"/>
      <c r="AA1113" s="54"/>
      <c r="AB1113" s="54"/>
      <c r="AC1113" s="54"/>
      <c r="AD1113" s="54"/>
      <c r="AE1113" s="54"/>
      <c r="AF1113" s="54"/>
      <c r="AG1113" s="54"/>
      <c r="AH1113" s="54"/>
      <c r="AI1113" s="54"/>
      <c r="AJ1113" s="54"/>
    </row>
    <row r="1114">
      <c r="A1114" s="215"/>
      <c r="B1114" s="215"/>
      <c r="C1114" s="215"/>
      <c r="D1114" s="215"/>
      <c r="E1114" s="215"/>
      <c r="F1114" s="373"/>
      <c r="G1114" s="215"/>
      <c r="H1114" s="215"/>
      <c r="I1114" s="215"/>
      <c r="J1114" s="215"/>
      <c r="K1114" s="215"/>
      <c r="L1114" s="45" t="str">
        <f t="shared" si="1"/>
        <v/>
      </c>
      <c r="M1114" s="46" t="str">
        <f>IFERROR(__xludf.DUMMYFUNCTION("IF(Account!$F1114&lt;&gt;"""", VALUE(REGEXREPLACE($I1114, ""\,"", ""."")), """")"),"")</f>
        <v/>
      </c>
      <c r="N1114" s="47" t="str">
        <f>IF(Account!$F1114&lt;&gt;"", DATEVALUE(MID($A1114,4,3) &amp; LEFT($A1114,3) &amp; RIGHT($A1114,4)) + TIMEVALUE($B1114), "")</f>
        <v/>
      </c>
      <c r="O1114" s="48" t="str">
        <f>IF(Account!$F1114&lt;&gt;"", DATEVALUE(MID($A1114,4,3) &amp; LEFT($A1114,3) &amp; RIGHT($A1114,4)), "")</f>
        <v/>
      </c>
      <c r="P1114" s="49" t="str">
        <f>IFERROR(VLOOKUP($Q1114,Selection!$F:$G,2,false))</f>
        <v/>
      </c>
      <c r="Q1114" s="50" t="str">
        <f>IF(AND($X1114="change",$H1114="EUR"),IF(AND($Z1114="Crédit",$N1114=$N1115),$Q1115,IF(AND($Z1114="Débit",$N1114=$N1113),$Q1113)),IF(OR(AND(OR($E1114&lt;&gt;"",$L1114=""),$M1114&lt;&gt;0),$A1114=""),IFERROR(VLOOKUP($E1114,Selection!$E:$F,2,false)),IFERROR(VLOOKUP(SUBSTITUTE($I1114,"-","",1),$K1115:$Q1119,7,false),VLOOKUP($K1114,$K1115:$Q1119,7,false))))</f>
        <v/>
      </c>
      <c r="R1114" s="49" t="str">
        <f t="shared" si="2"/>
        <v/>
      </c>
      <c r="S1114" s="51" t="str">
        <f t="shared" si="3"/>
        <v/>
      </c>
      <c r="T1114" s="52" t="str">
        <f t="shared" si="4"/>
        <v/>
      </c>
      <c r="U1114" s="46" t="str">
        <f t="shared" si="5"/>
        <v/>
      </c>
      <c r="V1114" s="53" t="str">
        <f>IFERROR(__xludf.DUMMYFUNCTION(" IF(Account!$F1114&lt;&gt;"""", SPLIT(Account!$F1114, "" ""), """")"),"")</f>
        <v/>
      </c>
      <c r="W1114" s="54"/>
      <c r="X1114" s="54"/>
      <c r="Y1114" s="54"/>
      <c r="Z1114" s="54"/>
      <c r="AA1114" s="54"/>
      <c r="AB1114" s="54"/>
      <c r="AC1114" s="54"/>
      <c r="AD1114" s="54"/>
      <c r="AE1114" s="54"/>
      <c r="AF1114" s="54"/>
      <c r="AG1114" s="54"/>
      <c r="AH1114" s="54"/>
      <c r="AI1114" s="54"/>
      <c r="AJ1114" s="54"/>
    </row>
    <row r="1115">
      <c r="A1115" s="215"/>
      <c r="B1115" s="215"/>
      <c r="C1115" s="215"/>
      <c r="D1115" s="215"/>
      <c r="E1115" s="215"/>
      <c r="F1115" s="373"/>
      <c r="G1115" s="215"/>
      <c r="H1115" s="215"/>
      <c r="I1115" s="215"/>
      <c r="J1115" s="215"/>
      <c r="K1115" s="215"/>
      <c r="L1115" s="45" t="str">
        <f t="shared" si="1"/>
        <v/>
      </c>
      <c r="M1115" s="46" t="str">
        <f>IFERROR(__xludf.DUMMYFUNCTION("IF(Account!$F1115&lt;&gt;"""", VALUE(REGEXREPLACE($I1115, ""\,"", ""."")), """")"),"")</f>
        <v/>
      </c>
      <c r="N1115" s="47" t="str">
        <f>IF(Account!$F1115&lt;&gt;"", DATEVALUE(MID($A1115,4,3) &amp; LEFT($A1115,3) &amp; RIGHT($A1115,4)) + TIMEVALUE($B1115), "")</f>
        <v/>
      </c>
      <c r="O1115" s="48" t="str">
        <f>IF(Account!$F1115&lt;&gt;"", DATEVALUE(MID($A1115,4,3) &amp; LEFT($A1115,3) &amp; RIGHT($A1115,4)), "")</f>
        <v/>
      </c>
      <c r="P1115" s="49" t="str">
        <f>IFERROR(VLOOKUP($Q1115,Selection!$F:$G,2,false))</f>
        <v/>
      </c>
      <c r="Q1115" s="50" t="str">
        <f>IF(AND($X1115="change",$H1115="EUR"),IF(AND($Z1115="Crédit",$N1115=$N1116),$Q1116,IF(AND($Z1115="Débit",$N1115=$N1114),$Q1114)),IF(OR(AND(OR($E1115&lt;&gt;"",$L1115=""),$M1115&lt;&gt;0),$A1115=""),IFERROR(VLOOKUP($E1115,Selection!$E:$F,2,false)),IFERROR(VLOOKUP(SUBSTITUTE($I1115,"-","",1),$K1116:$Q1119,7,false),VLOOKUP($K1115,$K1116:$Q1119,7,false))))</f>
        <v/>
      </c>
      <c r="R1115" s="49" t="str">
        <f t="shared" si="2"/>
        <v/>
      </c>
      <c r="S1115" s="51" t="str">
        <f t="shared" si="3"/>
        <v/>
      </c>
      <c r="T1115" s="52" t="str">
        <f t="shared" si="4"/>
        <v/>
      </c>
      <c r="U1115" s="46" t="str">
        <f t="shared" si="5"/>
        <v/>
      </c>
      <c r="V1115" s="53" t="str">
        <f>IFERROR(__xludf.DUMMYFUNCTION(" IF(Account!$F1115&lt;&gt;"""", SPLIT(Account!$F1115, "" ""), """")"),"")</f>
        <v/>
      </c>
      <c r="W1115" s="54"/>
      <c r="X1115" s="54"/>
      <c r="Y1115" s="54"/>
      <c r="Z1115" s="54"/>
      <c r="AA1115" s="54"/>
      <c r="AB1115" s="54"/>
      <c r="AC1115" s="54"/>
      <c r="AD1115" s="54"/>
      <c r="AE1115" s="54"/>
      <c r="AF1115" s="54"/>
      <c r="AG1115" s="54"/>
      <c r="AH1115" s="54"/>
      <c r="AI1115" s="54"/>
      <c r="AJ1115" s="54"/>
    </row>
    <row r="1116">
      <c r="A1116" s="215"/>
      <c r="B1116" s="215"/>
      <c r="C1116" s="215"/>
      <c r="D1116" s="215"/>
      <c r="E1116" s="215"/>
      <c r="F1116" s="373"/>
      <c r="G1116" s="215"/>
      <c r="H1116" s="215"/>
      <c r="I1116" s="215"/>
      <c r="J1116" s="215"/>
      <c r="K1116" s="215"/>
      <c r="L1116" s="45" t="str">
        <f t="shared" si="1"/>
        <v/>
      </c>
      <c r="M1116" s="46" t="str">
        <f>IFERROR(__xludf.DUMMYFUNCTION("IF(Account!$F1116&lt;&gt;"""", VALUE(REGEXREPLACE($I1116, ""\,"", ""."")), """")"),"")</f>
        <v/>
      </c>
      <c r="N1116" s="47" t="str">
        <f>IF(Account!$F1116&lt;&gt;"", DATEVALUE(MID($A1116,4,3) &amp; LEFT($A1116,3) &amp; RIGHT($A1116,4)) + TIMEVALUE($B1116), "")</f>
        <v/>
      </c>
      <c r="O1116" s="48" t="str">
        <f>IF(Account!$F1116&lt;&gt;"", DATEVALUE(MID($A1116,4,3) &amp; LEFT($A1116,3) &amp; RIGHT($A1116,4)), "")</f>
        <v/>
      </c>
      <c r="P1116" s="49" t="str">
        <f>IFERROR(VLOOKUP($Q1116,Selection!$F:$G,2,false))</f>
        <v/>
      </c>
      <c r="Q1116" s="50" t="str">
        <f>IF(AND($X1116="change",$H1116="EUR"),IF(AND($Z1116="Crédit",$N1116=$N1117),$Q1117,IF(AND($Z1116="Débit",$N1116=$N1115),$Q1115)),IF(OR(AND(OR($E1116&lt;&gt;"",$L1116=""),$M1116&lt;&gt;0),$A1116=""),IFERROR(VLOOKUP($E1116,Selection!$E:$F,2,false)),IFERROR(VLOOKUP(SUBSTITUTE($I1116,"-","",1),$K1117:$Q1119,7,false),VLOOKUP($K1116,$K1117:$Q1119,7,false))))</f>
        <v/>
      </c>
      <c r="R1116" s="49" t="str">
        <f t="shared" si="2"/>
        <v/>
      </c>
      <c r="S1116" s="51" t="str">
        <f t="shared" si="3"/>
        <v/>
      </c>
      <c r="T1116" s="52" t="str">
        <f t="shared" si="4"/>
        <v/>
      </c>
      <c r="U1116" s="46" t="str">
        <f t="shared" si="5"/>
        <v/>
      </c>
      <c r="V1116" s="53" t="str">
        <f>IFERROR(__xludf.DUMMYFUNCTION(" IF(Account!$F1116&lt;&gt;"""", SPLIT(Account!$F1116, "" ""), """")"),"")</f>
        <v/>
      </c>
      <c r="W1116" s="54"/>
      <c r="X1116" s="54"/>
      <c r="Y1116" s="54"/>
      <c r="Z1116" s="54"/>
      <c r="AA1116" s="54"/>
      <c r="AB1116" s="54"/>
      <c r="AC1116" s="54"/>
      <c r="AD1116" s="54"/>
      <c r="AE1116" s="54"/>
      <c r="AF1116" s="54"/>
      <c r="AG1116" s="54"/>
      <c r="AH1116" s="54"/>
      <c r="AI1116" s="54"/>
      <c r="AJ1116" s="54"/>
    </row>
    <row r="1117">
      <c r="A1117" s="215"/>
      <c r="B1117" s="215"/>
      <c r="C1117" s="215"/>
      <c r="D1117" s="215"/>
      <c r="E1117" s="215"/>
      <c r="F1117" s="373"/>
      <c r="G1117" s="215"/>
      <c r="H1117" s="215"/>
      <c r="I1117" s="215"/>
      <c r="J1117" s="215"/>
      <c r="K1117" s="215"/>
      <c r="L1117" s="45" t="str">
        <f t="shared" si="1"/>
        <v/>
      </c>
      <c r="M1117" s="46" t="str">
        <f>IFERROR(__xludf.DUMMYFUNCTION("IF(Account!$F1117&lt;&gt;"""", VALUE(REGEXREPLACE($I1117, ""\,"", ""."")), """")"),"")</f>
        <v/>
      </c>
      <c r="N1117" s="47" t="str">
        <f>IF(Account!$F1117&lt;&gt;"", DATEVALUE(MID($A1117,4,3) &amp; LEFT($A1117,3) &amp; RIGHT($A1117,4)) + TIMEVALUE($B1117), "")</f>
        <v/>
      </c>
      <c r="O1117" s="48" t="str">
        <f>IF(Account!$F1117&lt;&gt;"", DATEVALUE(MID($A1117,4,3) &amp; LEFT($A1117,3) &amp; RIGHT($A1117,4)), "")</f>
        <v/>
      </c>
      <c r="P1117" s="49" t="str">
        <f>IFERROR(VLOOKUP($Q1117,Selection!$F:$G,2,false))</f>
        <v/>
      </c>
      <c r="Q1117" s="50" t="str">
        <f>IF(AND($X1117="change",$H1117="EUR"),IF(AND($Z1117="Crédit",$N1117=$N1118),$Q1118,IF(AND($Z1117="Débit",$N1117=$N1116),$Q1116)),IF(OR(AND(OR($E1117&lt;&gt;"",$L1117=""),$M1117&lt;&gt;0),$A1117=""),IFERROR(VLOOKUP($E1117,Selection!$E:$F,2,false)),IFERROR(VLOOKUP(SUBSTITUTE($I1117,"-","",1),$K1118:$Q1119,7,false),VLOOKUP($K1117,$K1118:$Q1119,7,false))))</f>
        <v/>
      </c>
      <c r="R1117" s="49" t="str">
        <f t="shared" si="2"/>
        <v/>
      </c>
      <c r="S1117" s="51" t="str">
        <f t="shared" si="3"/>
        <v/>
      </c>
      <c r="T1117" s="52" t="str">
        <f t="shared" si="4"/>
        <v/>
      </c>
      <c r="U1117" s="46" t="str">
        <f t="shared" si="5"/>
        <v/>
      </c>
      <c r="V1117" s="53" t="str">
        <f>IFERROR(__xludf.DUMMYFUNCTION(" IF(Account!$F1117&lt;&gt;"""", SPLIT(Account!$F1117, "" ""), """")"),"")</f>
        <v/>
      </c>
      <c r="W1117" s="54"/>
      <c r="X1117" s="54"/>
      <c r="Y1117" s="54"/>
      <c r="Z1117" s="54"/>
      <c r="AA1117" s="54"/>
      <c r="AB1117" s="54"/>
      <c r="AC1117" s="54"/>
      <c r="AD1117" s="54"/>
      <c r="AE1117" s="54"/>
      <c r="AF1117" s="54"/>
      <c r="AG1117" s="54"/>
      <c r="AH1117" s="54"/>
      <c r="AI1117" s="54"/>
      <c r="AJ1117" s="54"/>
    </row>
    <row r="1118">
      <c r="A1118" s="215"/>
      <c r="B1118" s="215"/>
      <c r="C1118" s="215"/>
      <c r="D1118" s="215"/>
      <c r="E1118" s="215"/>
      <c r="F1118" s="373"/>
      <c r="G1118" s="215"/>
      <c r="H1118" s="215"/>
      <c r="I1118" s="215"/>
      <c r="J1118" s="215"/>
      <c r="K1118" s="215"/>
      <c r="L1118" s="45" t="str">
        <f t="shared" si="1"/>
        <v/>
      </c>
      <c r="M1118" s="46" t="str">
        <f>IFERROR(__xludf.DUMMYFUNCTION("IF(Account!$F1118&lt;&gt;"""", VALUE(REGEXREPLACE($I1118, ""\,"", ""."")), """")"),"")</f>
        <v/>
      </c>
      <c r="N1118" s="47" t="str">
        <f>IF(Account!$F1118&lt;&gt;"", DATEVALUE(MID($A1118,4,3) &amp; LEFT($A1118,3) &amp; RIGHT($A1118,4)) + TIMEVALUE($B1118), "")</f>
        <v/>
      </c>
      <c r="O1118" s="48" t="str">
        <f>IF(Account!$F1118&lt;&gt;"", DATEVALUE(MID($A1118,4,3) &amp; LEFT($A1118,3) &amp; RIGHT($A1118,4)), "")</f>
        <v/>
      </c>
      <c r="P1118" s="49" t="str">
        <f>IFERROR(VLOOKUP($Q1118,Selection!$F:$G,2,false))</f>
        <v/>
      </c>
      <c r="Q1118" s="50" t="str">
        <f>IF(AND($X1118="change",$H1118="EUR"),IF(AND($Z1118="Crédit",$N1118=$N1119),$Q1119,IF(AND($Z1118="Débit",$N1118=$N1117),$Q1117)),IF(OR(AND(OR($E1118&lt;&gt;"",$L1118=""),$M1118&lt;&gt;0),$A1118=""),IFERROR(VLOOKUP($E1118,Selection!$E:$F,2,false)),IFERROR(VLOOKUP(SUBSTITUTE($I1118,"-","",1),$K1119:$Q1119,7,false),VLOOKUP($K1118,$K1119:$Q1119,7,false))))</f>
        <v/>
      </c>
      <c r="R1118" s="49" t="str">
        <f t="shared" si="2"/>
        <v/>
      </c>
      <c r="S1118" s="51" t="str">
        <f t="shared" si="3"/>
        <v/>
      </c>
      <c r="T1118" s="52" t="str">
        <f t="shared" si="4"/>
        <v/>
      </c>
      <c r="U1118" s="46" t="str">
        <f t="shared" si="5"/>
        <v/>
      </c>
      <c r="V1118" s="53" t="str">
        <f>IFERROR(__xludf.DUMMYFUNCTION(" IF(Account!$F1118&lt;&gt;"""", SPLIT(Account!$F1118, "" ""), """")"),"")</f>
        <v/>
      </c>
      <c r="W1118" s="54"/>
      <c r="X1118" s="54"/>
      <c r="Y1118" s="54"/>
      <c r="Z1118" s="54"/>
      <c r="AA1118" s="54"/>
      <c r="AB1118" s="54"/>
      <c r="AC1118" s="54"/>
      <c r="AD1118" s="54"/>
      <c r="AE1118" s="54"/>
      <c r="AF1118" s="54"/>
      <c r="AG1118" s="54"/>
      <c r="AH1118" s="54"/>
      <c r="AI1118" s="54"/>
      <c r="AJ1118" s="54"/>
    </row>
    <row r="1119">
      <c r="A1119" s="215"/>
      <c r="B1119" s="215"/>
      <c r="C1119" s="215"/>
      <c r="D1119" s="215"/>
      <c r="E1119" s="215"/>
      <c r="F1119" s="373"/>
      <c r="G1119" s="215"/>
      <c r="H1119" s="215"/>
      <c r="I1119" s="215"/>
      <c r="J1119" s="215"/>
      <c r="K1119" s="215"/>
      <c r="L1119" s="45" t="str">
        <f t="shared" si="1"/>
        <v/>
      </c>
      <c r="M1119" s="46" t="str">
        <f>IFERROR(__xludf.DUMMYFUNCTION("IF(Account!$F1119&lt;&gt;"""", VALUE(REGEXREPLACE($I1119, ""\,"", ""."")), """")"),"")</f>
        <v/>
      </c>
      <c r="N1119" s="47" t="str">
        <f>IF(Account!$F1119&lt;&gt;"", DATEVALUE(MID($A1119,4,3) &amp; LEFT($A1119,3) &amp; RIGHT($A1119,4)) + TIMEVALUE($B1119), "")</f>
        <v/>
      </c>
      <c r="O1119" s="48" t="str">
        <f>IF(Account!$F1119&lt;&gt;"", DATEVALUE(MID($A1119,4,3) &amp; LEFT($A1119,3) &amp; RIGHT($A1119,4)), "")</f>
        <v/>
      </c>
      <c r="P1119" s="49" t="str">
        <f>IFERROR(VLOOKUP($Q1119,Selection!$F:$G,2,false))</f>
        <v/>
      </c>
      <c r="Q1119" s="50" t="str">
        <f>IF(AND($X1119="change",$H1119="EUR"),IF(AND($Z1119="Crédit",$N1119=$N1120),$Q1120,IF(AND($Z1119="Débit",$N1119=$N1118),$Q1118)),IF(OR(AND(OR($E1119&lt;&gt;"",$L1119=""),$M1119&lt;&gt;0),$A1119=""),IFERROR(VLOOKUP($E1119,Selection!$E:$F,2,false)),IFERROR(VLOOKUP(SUBSTITUTE($I1119,"-","",1),$K1119:$Q1120,7,false),VLOOKUP($K1119,$K1119:$Q1120,7,false))))</f>
        <v/>
      </c>
      <c r="R1119" s="49" t="str">
        <f t="shared" si="2"/>
        <v/>
      </c>
      <c r="S1119" s="51" t="str">
        <f t="shared" si="3"/>
        <v/>
      </c>
      <c r="T1119" s="52" t="str">
        <f t="shared" si="4"/>
        <v/>
      </c>
      <c r="U1119" s="46" t="str">
        <f t="shared" si="5"/>
        <v/>
      </c>
      <c r="V1119" s="53" t="str">
        <f>IFERROR(__xludf.DUMMYFUNCTION(" IF(Account!$F1119&lt;&gt;"""", SPLIT(Account!$F1119, "" ""), """")"),"")</f>
        <v/>
      </c>
      <c r="W1119" s="54"/>
      <c r="X1119" s="54"/>
      <c r="Y1119" s="54"/>
      <c r="Z1119" s="54"/>
      <c r="AA1119" s="54"/>
      <c r="AB1119" s="54"/>
      <c r="AC1119" s="54"/>
      <c r="AD1119" s="54"/>
      <c r="AE1119" s="54"/>
      <c r="AF1119" s="54"/>
      <c r="AG1119" s="54"/>
      <c r="AH1119" s="54"/>
      <c r="AI1119" s="54"/>
      <c r="AJ1119" s="54"/>
    </row>
  </sheetData>
  <autoFilter ref="$A$1:$AJ$5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11.29"/>
  </cols>
  <sheetData>
    <row r="1">
      <c r="A1" s="19" t="str">
        <f>IFERROR(__xludf.DUMMYFUNCTION("UNIQUE(Account!O:U)"),"Date")</f>
        <v>Date</v>
      </c>
      <c r="B1" s="21" t="str">
        <f>IFERROR(__xludf.DUMMYFUNCTION("""COMPUTED_VALUE"""),"Type")</f>
        <v>Type</v>
      </c>
      <c r="C1" s="24" t="str">
        <f>IFERROR(__xludf.DUMMYFUNCTION("""COMPUTED_VALUE"""),"Label")</f>
        <v>Label</v>
      </c>
      <c r="D1" s="21" t="str">
        <f>IFERROR(__xludf.DUMMYFUNCTION("""COMPUTED_VALUE"""),"Transaction")</f>
        <v>Transaction</v>
      </c>
      <c r="E1" s="21" t="str">
        <f>IFERROR(__xludf.DUMMYFUNCTION("""COMPUTED_VALUE"""),"Quantity")</f>
        <v>Quantity</v>
      </c>
      <c r="F1" s="26" t="str">
        <f>IFERROR(__xludf.DUMMYFUNCTION("""COMPUTED_VALUE"""),"Price")</f>
        <v>Price</v>
      </c>
      <c r="G1" s="27" t="str">
        <f>IFERROR(__xludf.DUMMYFUNCTION("""COMPUTED_VALUE"""),"Value")</f>
        <v>Value</v>
      </c>
      <c r="H1" s="17" t="s">
        <v>46</v>
      </c>
    </row>
    <row r="2">
      <c r="A2" s="28">
        <f>IFERROR(__xludf.DUMMYFUNCTION("""COMPUTED_VALUE"""),43469.0)</f>
        <v>43469</v>
      </c>
      <c r="B2" t="str">
        <f>IFERROR(__xludf.DUMMYFUNCTION("""COMPUTED_VALUE"""),"")</f>
        <v/>
      </c>
      <c r="C2" s="30" t="str">
        <f>IFERROR(__xludf.DUMMYFUNCTION("""COMPUTED_VALUE"""),"")</f>
        <v/>
      </c>
      <c r="D2" s="31" t="str">
        <f>IFERROR(__xludf.DUMMYFUNCTION("""COMPUTED_VALUE"""),"APPROVISIONNEMENT")</f>
        <v>APPROVISIONNEMENT</v>
      </c>
      <c r="E2" s="32" t="str">
        <f>IFERROR(__xludf.DUMMYFUNCTION("""COMPUTED_VALUE"""),"")</f>
        <v/>
      </c>
      <c r="F2" s="34" t="str">
        <f>IFERROR(__xludf.DUMMYFUNCTION("""COMPUTED_VALUE"""),"")</f>
        <v/>
      </c>
      <c r="G2" s="35">
        <f>IFERROR(__xludf.DUMMYFUNCTION("""COMPUTED_VALUE"""),-1500.0)</f>
        <v>-1500</v>
      </c>
      <c r="H2" s="37" t="str">
        <f t="shared" ref="H2:H510" si="1">IF(D2&lt;&gt;"",C2 &amp; "@" &amp; D2 &amp; "@" &amp; E2 &amp; "@" &amp; G2,"")</f>
        <v>@APPROVISIONNEMENT@@-1500</v>
      </c>
    </row>
    <row r="3">
      <c r="A3" s="28">
        <f>IFERROR(__xludf.DUMMYFUNCTION("""COMPUTED_VALUE"""),43467.0)</f>
        <v>43467</v>
      </c>
      <c r="B3" t="str">
        <f>IFERROR(__xludf.DUMMYFUNCTION("""COMPUTED_VALUE"""),"Stocks")</f>
        <v>Stocks</v>
      </c>
      <c r="C3" s="30" t="str">
        <f>IFERROR(__xludf.DUMMYFUNCTION("""COMPUTED_VALUE"""),"Vanguard S&amp;P 500 UCITS ETF")</f>
        <v>Vanguard S&amp;P 500 UCITS ETF</v>
      </c>
      <c r="D3" s="31" t="str">
        <f>IFERROR(__xludf.DUMMYFUNCTION("""COMPUTED_VALUE"""),"BUY")</f>
        <v>BUY</v>
      </c>
      <c r="E3" s="32">
        <f>IFERROR(__xludf.DUMMYFUNCTION("""COMPUTED_VALUE"""),74.0)</f>
        <v>74</v>
      </c>
      <c r="F3" s="34">
        <f>IFERROR(__xludf.DUMMYFUNCTION("""COMPUTED_VALUE"""),41.15)</f>
        <v>41.15</v>
      </c>
      <c r="G3" s="35">
        <f>IFERROR(__xludf.DUMMYFUNCTION("""COMPUTED_VALUE"""),-3045.1)</f>
        <v>-3045.1</v>
      </c>
      <c r="H3" s="37" t="str">
        <f t="shared" si="1"/>
        <v>Vanguard S&amp;P 500 UCITS ETF@BUY@74@-3045.1</v>
      </c>
    </row>
    <row r="4">
      <c r="A4" s="28">
        <f>IFERROR(__xludf.DUMMYFUNCTION("""COMPUTED_VALUE"""),43467.0)</f>
        <v>43467</v>
      </c>
      <c r="B4" t="str">
        <f>IFERROR(__xludf.DUMMYFUNCTION("""COMPUTED_VALUE"""),"Commodities")</f>
        <v>Commodities</v>
      </c>
      <c r="C4" s="30" t="str">
        <f>IFERROR(__xludf.DUMMYFUNCTION("""COMPUTED_VALUE"""),"ETFS All Commodities")</f>
        <v>ETFS All Commodities</v>
      </c>
      <c r="D4" s="31" t="str">
        <f>IFERROR(__xludf.DUMMYFUNCTION("""COMPUTED_VALUE"""),"BUY")</f>
        <v>BUY</v>
      </c>
      <c r="E4" s="32">
        <f>IFERROR(__xludf.DUMMYFUNCTION("""COMPUTED_VALUE"""),300.0)</f>
        <v>300</v>
      </c>
      <c r="F4" s="34">
        <f>IFERROR(__xludf.DUMMYFUNCTION("""COMPUTED_VALUE"""),6.82)</f>
        <v>6.82</v>
      </c>
      <c r="G4" s="35">
        <f>IFERROR(__xludf.DUMMYFUNCTION("""COMPUTED_VALUE"""),-2046.0)</f>
        <v>-2046</v>
      </c>
      <c r="H4" s="37" t="str">
        <f t="shared" si="1"/>
        <v>ETFS All Commodities@BUY@300@-2046</v>
      </c>
    </row>
    <row r="5">
      <c r="A5" s="28">
        <f>IFERROR(__xludf.DUMMYFUNCTION("""COMPUTED_VALUE"""),43467.0)</f>
        <v>43467</v>
      </c>
      <c r="B5" t="str">
        <f>IFERROR(__xludf.DUMMYFUNCTION("""COMPUTED_VALUE"""),"")</f>
        <v/>
      </c>
      <c r="C5" s="30" t="str">
        <f>IFERROR(__xludf.DUMMYFUNCTION("""COMPUTED_VALUE"""),"")</f>
        <v/>
      </c>
      <c r="D5" s="31" t="str">
        <f>IFERROR(__xludf.DUMMYFUNCTION("""COMPUTED_VALUE"""),"COST")</f>
        <v>COST</v>
      </c>
      <c r="E5" s="32" t="str">
        <f>IFERROR(__xludf.DUMMYFUNCTION("""COMPUTED_VALUE"""),"")</f>
        <v/>
      </c>
      <c r="F5" s="34" t="str">
        <f>IFERROR(__xludf.DUMMYFUNCTION("""COMPUTED_VALUE"""),"")</f>
        <v/>
      </c>
      <c r="G5" s="35">
        <f>IFERROR(__xludf.DUMMYFUNCTION("""COMPUTED_VALUE"""),-534.69)</f>
        <v>-534.69</v>
      </c>
      <c r="H5" s="37" t="str">
        <f t="shared" si="1"/>
        <v>@COST@@-534.69</v>
      </c>
    </row>
    <row r="6">
      <c r="A6" s="28">
        <f>IFERROR(__xludf.DUMMYFUNCTION("""COMPUTED_VALUE"""),43465.0)</f>
        <v>43465</v>
      </c>
      <c r="B6" t="str">
        <f>IFERROR(__xludf.DUMMYFUNCTION("""COMPUTED_VALUE"""),"Long term US bonds (20-25 year)")</f>
        <v>Long term US bonds (20-25 year)</v>
      </c>
      <c r="C6" s="30" t="str">
        <f>IFERROR(__xludf.DUMMYFUNCTION("""COMPUTED_VALUE"""),"iShares USD Treasury Bond 20+yr UCITS ETF")</f>
        <v>iShares USD Treasury Bond 20+yr UCITS ETF</v>
      </c>
      <c r="D6" s="31" t="str">
        <f>IFERROR(__xludf.DUMMYFUNCTION("""COMPUTED_VALUE"""),"DIVIDEND")</f>
        <v>DIVIDEND</v>
      </c>
      <c r="E6" s="32" t="str">
        <f>IFERROR(__xludf.DUMMYFUNCTION("""COMPUTED_VALUE"""),"")</f>
        <v/>
      </c>
      <c r="F6" s="34" t="str">
        <f>IFERROR(__xludf.DUMMYFUNCTION("""COMPUTED_VALUE"""),"")</f>
        <v/>
      </c>
      <c r="G6" s="35">
        <f>IFERROR(__xludf.DUMMYFUNCTION("""COMPUTED_VALUE"""),-618.4900000000007)</f>
        <v>-618.49</v>
      </c>
      <c r="H6" s="37" t="str">
        <f t="shared" si="1"/>
        <v>iShares USD Treasury Bond 20+yr UCITS ETF@DIVIDEND@@-618.490000000001</v>
      </c>
    </row>
    <row r="7">
      <c r="A7" s="28">
        <f>IFERROR(__xludf.DUMMYFUNCTION("""COMPUTED_VALUE"""),43464.0)</f>
        <v>43464</v>
      </c>
      <c r="B7" t="str">
        <f>IFERROR(__xludf.DUMMYFUNCTION("""COMPUTED_VALUE"""),"Long term US bonds (20-25 year)")</f>
        <v>Long term US bonds (20-25 year)</v>
      </c>
      <c r="C7" s="30" t="str">
        <f>IFERROR(__xludf.DUMMYFUNCTION("""COMPUTED_VALUE"""),"iShares USD Treasury Bond 20+yr UCITS ETF")</f>
        <v>iShares USD Treasury Bond 20+yr UCITS ETF</v>
      </c>
      <c r="D7" s="31" t="str">
        <f>IFERROR(__xludf.DUMMYFUNCTION("""COMPUTED_VALUE"""),"DIVIDEND")</f>
        <v>DIVIDEND</v>
      </c>
      <c r="E7" s="32" t="str">
        <f>IFERROR(__xludf.DUMMYFUNCTION("""COMPUTED_VALUE"""),"")</f>
        <v/>
      </c>
      <c r="F7" s="34" t="str">
        <f>IFERROR(__xludf.DUMMYFUNCTION("""COMPUTED_VALUE"""),"")</f>
        <v/>
      </c>
      <c r="G7" s="35">
        <f>IFERROR(__xludf.DUMMYFUNCTION("""COMPUTED_VALUE"""),4867.15)</f>
        <v>4867.15</v>
      </c>
      <c r="H7" s="37" t="str">
        <f t="shared" si="1"/>
        <v>iShares USD Treasury Bond 20+yr UCITS ETF@DIVIDEND@@4867.15</v>
      </c>
    </row>
    <row r="8">
      <c r="A8" s="28">
        <f>IFERROR(__xludf.DUMMYFUNCTION("""COMPUTED_VALUE"""),43461.0)</f>
        <v>43461</v>
      </c>
      <c r="B8" t="str">
        <f>IFERROR(__xludf.DUMMYFUNCTION("""COMPUTED_VALUE"""),"Intermediate US bonds (7-10 year)")</f>
        <v>Intermediate US bonds (7-10 year)</v>
      </c>
      <c r="C8" s="30" t="str">
        <f>IFERROR(__xludf.DUMMYFUNCTION("""COMPUTED_VALUE"""),"iShares USD Treasury Bond 7-10yr UCITS ETF USD Dist")</f>
        <v>iShares USD Treasury Bond 7-10yr UCITS ETF USD Dist</v>
      </c>
      <c r="D8" s="31" t="str">
        <f>IFERROR(__xludf.DUMMYFUNCTION("""COMPUTED_VALUE"""),"SELL")</f>
        <v>SELL</v>
      </c>
      <c r="E8" s="32">
        <f>IFERROR(__xludf.DUMMYFUNCTION("""COMPUTED_VALUE"""),-5.0)</f>
        <v>-5</v>
      </c>
      <c r="F8" s="34">
        <f>IFERROR(__xludf.DUMMYFUNCTION("""COMPUTED_VALUE"""),166.98)</f>
        <v>166.98</v>
      </c>
      <c r="G8" s="35">
        <f>IFERROR(__xludf.DUMMYFUNCTION("""COMPUTED_VALUE"""),834.9)</f>
        <v>834.9</v>
      </c>
      <c r="H8" s="37" t="str">
        <f t="shared" si="1"/>
        <v>iShares USD Treasury Bond 7-10yr UCITS ETF USD Dist@SELL@-5@834.9</v>
      </c>
    </row>
    <row r="9">
      <c r="A9" s="28">
        <f>IFERROR(__xludf.DUMMYFUNCTION("""COMPUTED_VALUE"""),43461.0)</f>
        <v>43461</v>
      </c>
      <c r="B9" t="str">
        <f>IFERROR(__xludf.DUMMYFUNCTION("""COMPUTED_VALUE"""),"Intermediate US bonds (7-10 year)")</f>
        <v>Intermediate US bonds (7-10 year)</v>
      </c>
      <c r="C9" s="30" t="str">
        <f>IFERROR(__xludf.DUMMYFUNCTION("""COMPUTED_VALUE"""),"iShares USD Treasury Bond 7-10yr UCITS ETF USD Dist")</f>
        <v>iShares USD Treasury Bond 7-10yr UCITS ETF USD Dist</v>
      </c>
      <c r="D9" s="31" t="str">
        <f>IFERROR(__xludf.DUMMYFUNCTION("""COMPUTED_VALUE"""),"SELL")</f>
        <v>SELL</v>
      </c>
      <c r="E9" s="32">
        <f>IFERROR(__xludf.DUMMYFUNCTION("""COMPUTED_VALUE"""),-2.0)</f>
        <v>-2</v>
      </c>
      <c r="F9" s="34">
        <f>IFERROR(__xludf.DUMMYFUNCTION("""COMPUTED_VALUE"""),166.98)</f>
        <v>166.98</v>
      </c>
      <c r="G9" s="35">
        <f>IFERROR(__xludf.DUMMYFUNCTION("""COMPUTED_VALUE"""),333.96)</f>
        <v>333.96</v>
      </c>
      <c r="H9" s="37" t="str">
        <f t="shared" si="1"/>
        <v>iShares USD Treasury Bond 7-10yr UCITS ETF USD Dist@SELL@-2@333.96</v>
      </c>
    </row>
    <row r="10">
      <c r="A10" s="28">
        <f>IFERROR(__xludf.DUMMYFUNCTION("""COMPUTED_VALUE"""),43461.0)</f>
        <v>43461</v>
      </c>
      <c r="B10" t="str">
        <f>IFERROR(__xludf.DUMMYFUNCTION("""COMPUTED_VALUE"""),"Long term US bonds (20-25 year)")</f>
        <v>Long term US bonds (20-25 year)</v>
      </c>
      <c r="C10" s="30" t="str">
        <f>IFERROR(__xludf.DUMMYFUNCTION("""COMPUTED_VALUE"""),"iShares USD Treasury Bond 20+yr UCITS ETF")</f>
        <v>iShares USD Treasury Bond 20+yr UCITS ETF</v>
      </c>
      <c r="D10" s="31" t="str">
        <f>IFERROR(__xludf.DUMMYFUNCTION("""COMPUTED_VALUE"""),"SELL")</f>
        <v>SELL</v>
      </c>
      <c r="E10" s="32">
        <f>IFERROR(__xludf.DUMMYFUNCTION("""COMPUTED_VALUE"""),-691.0)</f>
        <v>-691</v>
      </c>
      <c r="F10" s="34">
        <f>IFERROR(__xludf.DUMMYFUNCTION("""COMPUTED_VALUE"""),3.9557742402315488)</f>
        <v>3.95577424</v>
      </c>
      <c r="G10" s="35">
        <f>IFERROR(__xludf.DUMMYFUNCTION("""COMPUTED_VALUE"""),2733.44)</f>
        <v>2733.44</v>
      </c>
      <c r="H10" s="37" t="str">
        <f t="shared" si="1"/>
        <v>iShares USD Treasury Bond 20+yr UCITS ETF@SELL@-691@2733.44</v>
      </c>
    </row>
    <row r="11">
      <c r="A11" s="28">
        <f>IFERROR(__xludf.DUMMYFUNCTION("""COMPUTED_VALUE"""),43461.0)</f>
        <v>43461</v>
      </c>
      <c r="B11" t="str">
        <f>IFERROR(__xludf.DUMMYFUNCTION("""COMPUTED_VALUE"""),"Long term US bonds (20-25 year)")</f>
        <v>Long term US bonds (20-25 year)</v>
      </c>
      <c r="C11" s="30" t="str">
        <f>IFERROR(__xludf.DUMMYFUNCTION("""COMPUTED_VALUE"""),"iShares USD Treasury Bond 20+yr UCITS ETF")</f>
        <v>iShares USD Treasury Bond 20+yr UCITS ETF</v>
      </c>
      <c r="D11" s="31" t="str">
        <f>IFERROR(__xludf.DUMMYFUNCTION("""COMPUTED_VALUE"""),"COST")</f>
        <v>COST</v>
      </c>
      <c r="E11" s="32" t="str">
        <f>IFERROR(__xludf.DUMMYFUNCTION("""COMPUTED_VALUE"""),"")</f>
        <v/>
      </c>
      <c r="F11" s="34" t="str">
        <f>IFERROR(__xludf.DUMMYFUNCTION("""COMPUTED_VALUE"""),"")</f>
        <v/>
      </c>
      <c r="G11" s="35">
        <f>IFERROR(__xludf.DUMMYFUNCTION("""COMPUTED_VALUE"""),-0.55)</f>
        <v>-0.55</v>
      </c>
      <c r="H11" s="37" t="str">
        <f t="shared" si="1"/>
        <v>iShares USD Treasury Bond 20+yr UCITS ETF@COST@@-0.55</v>
      </c>
    </row>
    <row r="12">
      <c r="A12" s="28">
        <f>IFERROR(__xludf.DUMMYFUNCTION("""COMPUTED_VALUE"""),43461.0)</f>
        <v>43461</v>
      </c>
      <c r="B12" t="str">
        <f>IFERROR(__xludf.DUMMYFUNCTION("""COMPUTED_VALUE"""),"Long term US bonds (20-25 year)")</f>
        <v>Long term US bonds (20-25 year)</v>
      </c>
      <c r="C12" s="30" t="str">
        <f>IFERROR(__xludf.DUMMYFUNCTION("""COMPUTED_VALUE"""),"iShares USD Treasury Bond 20+yr UCITS ETF")</f>
        <v>iShares USD Treasury Bond 20+yr UCITS ETF</v>
      </c>
      <c r="D12" s="31" t="str">
        <f>IFERROR(__xludf.DUMMYFUNCTION("""COMPUTED_VALUE"""),"SELL")</f>
        <v>SELL</v>
      </c>
      <c r="E12" s="32">
        <f>IFERROR(__xludf.DUMMYFUNCTION("""COMPUTED_VALUE"""),-355.0)</f>
        <v>-355</v>
      </c>
      <c r="F12" s="34">
        <f>IFERROR(__xludf.DUMMYFUNCTION("""COMPUTED_VALUE"""),3.958028169014084)</f>
        <v>3.958028169</v>
      </c>
      <c r="G12" s="35">
        <f>IFERROR(__xludf.DUMMYFUNCTION("""COMPUTED_VALUE"""),1405.1)</f>
        <v>1405.1</v>
      </c>
      <c r="H12" s="37" t="str">
        <f t="shared" si="1"/>
        <v>iShares USD Treasury Bond 20+yr UCITS ETF@SELL@-355@1405.1</v>
      </c>
    </row>
    <row r="13">
      <c r="A13" s="28">
        <f>IFERROR(__xludf.DUMMYFUNCTION("""COMPUTED_VALUE"""),43461.0)</f>
        <v>43461</v>
      </c>
      <c r="B13" t="str">
        <f>IFERROR(__xludf.DUMMYFUNCTION("""COMPUTED_VALUE"""),"Long term US bonds (20-25 year)")</f>
        <v>Long term US bonds (20-25 year)</v>
      </c>
      <c r="C13" s="30" t="str">
        <f>IFERROR(__xludf.DUMMYFUNCTION("""COMPUTED_VALUE"""),"iShares USD Treasury Bond 20+yr UCITS ETF")</f>
        <v>iShares USD Treasury Bond 20+yr UCITS ETF</v>
      </c>
      <c r="D13" s="31" t="str">
        <f>IFERROR(__xludf.DUMMYFUNCTION("""COMPUTED_VALUE"""),"COST")</f>
        <v>COST</v>
      </c>
      <c r="E13" s="32" t="str">
        <f>IFERROR(__xludf.DUMMYFUNCTION("""COMPUTED_VALUE"""),"")</f>
        <v/>
      </c>
      <c r="F13" s="34" t="str">
        <f>IFERROR(__xludf.DUMMYFUNCTION("""COMPUTED_VALUE"""),"")</f>
        <v/>
      </c>
      <c r="G13" s="35">
        <f>IFERROR(__xludf.DUMMYFUNCTION("""COMPUTED_VALUE"""),-2.2800000000000002)</f>
        <v>-2.28</v>
      </c>
      <c r="H13" s="37" t="str">
        <f t="shared" si="1"/>
        <v>iShares USD Treasury Bond 20+yr UCITS ETF@COST@@-2.28</v>
      </c>
    </row>
    <row r="14">
      <c r="A14" s="28">
        <f>IFERROR(__xludf.DUMMYFUNCTION("""COMPUTED_VALUE"""),43461.0)</f>
        <v>43461</v>
      </c>
      <c r="B14" t="str">
        <f>IFERROR(__xludf.DUMMYFUNCTION("""COMPUTED_VALUE"""),"Gold")</f>
        <v>Gold</v>
      </c>
      <c r="C14" s="30" t="str">
        <f>IFERROR(__xludf.DUMMYFUNCTION("""COMPUTED_VALUE"""),"ETFS Physical Gold")</f>
        <v>ETFS Physical Gold</v>
      </c>
      <c r="D14" s="31" t="str">
        <f>IFERROR(__xludf.DUMMYFUNCTION("""COMPUTED_VALUE"""),"SELL")</f>
        <v>SELL</v>
      </c>
      <c r="E14" s="32">
        <f>IFERROR(__xludf.DUMMYFUNCTION("""COMPUTED_VALUE"""),-11.0)</f>
        <v>-11</v>
      </c>
      <c r="F14" s="34">
        <f>IFERROR(__xludf.DUMMYFUNCTION("""COMPUTED_VALUE"""),106.6)</f>
        <v>106.6</v>
      </c>
      <c r="G14" s="35">
        <f>IFERROR(__xludf.DUMMYFUNCTION("""COMPUTED_VALUE"""),1172.6)</f>
        <v>1172.6</v>
      </c>
      <c r="H14" s="37" t="str">
        <f t="shared" si="1"/>
        <v>ETFS Physical Gold@SELL@-11@1172.6</v>
      </c>
    </row>
    <row r="15">
      <c r="A15" s="28">
        <f>IFERROR(__xludf.DUMMYFUNCTION("""COMPUTED_VALUE"""),43461.0)</f>
        <v>43461</v>
      </c>
      <c r="B15" t="str">
        <f>IFERROR(__xludf.DUMMYFUNCTION("""COMPUTED_VALUE"""),"Intermediate US bonds (7-10 year)")</f>
        <v>Intermediate US bonds (7-10 year)</v>
      </c>
      <c r="C15" s="30" t="str">
        <f>IFERROR(__xludf.DUMMYFUNCTION("""COMPUTED_VALUE"""),"iShares USD Treasury Bond 7-10yr UCITS ETF USD Dist")</f>
        <v>iShares USD Treasury Bond 7-10yr UCITS ETF USD Dist</v>
      </c>
      <c r="D15" s="31" t="str">
        <f>IFERROR(__xludf.DUMMYFUNCTION("""COMPUTED_VALUE"""),"SELL")</f>
        <v>SELL</v>
      </c>
      <c r="E15" s="32">
        <f>IFERROR(__xludf.DUMMYFUNCTION("""COMPUTED_VALUE"""),-9.0)</f>
        <v>-9</v>
      </c>
      <c r="F15" s="34">
        <f>IFERROR(__xludf.DUMMYFUNCTION("""COMPUTED_VALUE"""),166.95)</f>
        <v>166.95</v>
      </c>
      <c r="G15" s="35">
        <f>IFERROR(__xludf.DUMMYFUNCTION("""COMPUTED_VALUE"""),1502.55)</f>
        <v>1502.55</v>
      </c>
      <c r="H15" s="37" t="str">
        <f t="shared" si="1"/>
        <v>iShares USD Treasury Bond 7-10yr UCITS ETF USD Dist@SELL@-9@1502.55</v>
      </c>
    </row>
    <row r="16">
      <c r="A16" s="28">
        <f>IFERROR(__xludf.DUMMYFUNCTION("""COMPUTED_VALUE"""),43455.0)</f>
        <v>43455</v>
      </c>
      <c r="B16" t="str">
        <f>IFERROR(__xludf.DUMMYFUNCTION("""COMPUTED_VALUE"""),"Intermediate US bonds (7-10 year)")</f>
        <v>Intermediate US bonds (7-10 year)</v>
      </c>
      <c r="C16" s="30" t="str">
        <f>IFERROR(__xludf.DUMMYFUNCTION("""COMPUTED_VALUE"""),"iShares USD Treasury Bond 7-10yr UCITS ETF USD Dist")</f>
        <v>iShares USD Treasury Bond 7-10yr UCITS ETF USD Dist</v>
      </c>
      <c r="D16" s="31" t="str">
        <f>IFERROR(__xludf.DUMMYFUNCTION("""COMPUTED_VALUE"""),"SELL")</f>
        <v>SELL</v>
      </c>
      <c r="E16" s="32">
        <f>IFERROR(__xludf.DUMMYFUNCTION("""COMPUTED_VALUE"""),-10.0)</f>
        <v>-10</v>
      </c>
      <c r="F16" s="34">
        <f>IFERROR(__xludf.DUMMYFUNCTION("""COMPUTED_VALUE"""),166.55)</f>
        <v>166.55</v>
      </c>
      <c r="G16" s="35">
        <f>IFERROR(__xludf.DUMMYFUNCTION("""COMPUTED_VALUE"""),1665.5)</f>
        <v>1665.5</v>
      </c>
      <c r="H16" s="37" t="str">
        <f t="shared" si="1"/>
        <v>iShares USD Treasury Bond 7-10yr UCITS ETF USD Dist@SELL@-10@1665.5</v>
      </c>
    </row>
    <row r="17">
      <c r="A17" s="28">
        <f>IFERROR(__xludf.DUMMYFUNCTION("""COMPUTED_VALUE"""),43455.0)</f>
        <v>43455</v>
      </c>
      <c r="B17" t="str">
        <f>IFERROR(__xludf.DUMMYFUNCTION("""COMPUTED_VALUE"""),"Gold")</f>
        <v>Gold</v>
      </c>
      <c r="C17" s="30" t="str">
        <f>IFERROR(__xludf.DUMMYFUNCTION("""COMPUTED_VALUE"""),"ETFS Physical Gold")</f>
        <v>ETFS Physical Gold</v>
      </c>
      <c r="D17" s="31" t="str">
        <f>IFERROR(__xludf.DUMMYFUNCTION("""COMPUTED_VALUE"""),"SELL")</f>
        <v>SELL</v>
      </c>
      <c r="E17" s="32">
        <f>IFERROR(__xludf.DUMMYFUNCTION("""COMPUTED_VALUE"""),-10.0)</f>
        <v>-10</v>
      </c>
      <c r="F17" s="34">
        <f>IFERROR(__xludf.DUMMYFUNCTION("""COMPUTED_VALUE"""),105.65)</f>
        <v>105.65</v>
      </c>
      <c r="G17" s="35">
        <f>IFERROR(__xludf.DUMMYFUNCTION("""COMPUTED_VALUE"""),1056.5)</f>
        <v>1056.5</v>
      </c>
      <c r="H17" s="37" t="str">
        <f t="shared" si="1"/>
        <v>ETFS Physical Gold@SELL@-10@1056.5</v>
      </c>
    </row>
    <row r="18">
      <c r="A18" s="28">
        <f>IFERROR(__xludf.DUMMYFUNCTION("""COMPUTED_VALUE"""),43454.0)</f>
        <v>43454</v>
      </c>
      <c r="B18" t="str">
        <f>IFERROR(__xludf.DUMMYFUNCTION("""COMPUTED_VALUE"""),"Stocks")</f>
        <v>Stocks</v>
      </c>
      <c r="C18" s="30" t="str">
        <f>IFERROR(__xludf.DUMMYFUNCTION("""COMPUTED_VALUE"""),"Vanguard S&amp;P 500 UCITS ETF")</f>
        <v>Vanguard S&amp;P 500 UCITS ETF</v>
      </c>
      <c r="D18" s="31" t="str">
        <f>IFERROR(__xludf.DUMMYFUNCTION("""COMPUTED_VALUE"""),"COST")</f>
        <v>COST</v>
      </c>
      <c r="E18" s="32" t="str">
        <f>IFERROR(__xludf.DUMMYFUNCTION("""COMPUTED_VALUE"""),"")</f>
        <v/>
      </c>
      <c r="F18" s="34" t="str">
        <f>IFERROR(__xludf.DUMMYFUNCTION("""COMPUTED_VALUE"""),"")</f>
        <v/>
      </c>
      <c r="G18" s="35">
        <f>IFERROR(__xludf.DUMMYFUNCTION("""COMPUTED_VALUE"""),-2.83)</f>
        <v>-2.83</v>
      </c>
      <c r="H18" s="37" t="str">
        <f t="shared" si="1"/>
        <v>Vanguard S&amp;P 500 UCITS ETF@COST@@-2.83</v>
      </c>
    </row>
    <row r="19">
      <c r="A19" s="28">
        <f>IFERROR(__xludf.DUMMYFUNCTION("""COMPUTED_VALUE"""),43454.0)</f>
        <v>43454</v>
      </c>
      <c r="B19" t="str">
        <f>IFERROR(__xludf.DUMMYFUNCTION("""COMPUTED_VALUE"""),"Stocks")</f>
        <v>Stocks</v>
      </c>
      <c r="C19" s="30" t="str">
        <f>IFERROR(__xludf.DUMMYFUNCTION("""COMPUTED_VALUE"""),"Vanguard S&amp;P 500 UCITS ETF")</f>
        <v>Vanguard S&amp;P 500 UCITS ETF</v>
      </c>
      <c r="D19" s="31" t="str">
        <f>IFERROR(__xludf.DUMMYFUNCTION("""COMPUTED_VALUE"""),"BUY")</f>
        <v>BUY</v>
      </c>
      <c r="E19" s="32">
        <f>IFERROR(__xludf.DUMMYFUNCTION("""COMPUTED_VALUE"""),100.0)</f>
        <v>100</v>
      </c>
      <c r="F19" s="34">
        <f>IFERROR(__xludf.DUMMYFUNCTION("""COMPUTED_VALUE"""),41.63)</f>
        <v>41.63</v>
      </c>
      <c r="G19" s="35">
        <f>IFERROR(__xludf.DUMMYFUNCTION("""COMPUTED_VALUE"""),-4163.0)</f>
        <v>-4163</v>
      </c>
      <c r="H19" s="37" t="str">
        <f t="shared" si="1"/>
        <v>Vanguard S&amp;P 500 UCITS ETF@BUY@100@-4163</v>
      </c>
    </row>
    <row r="20">
      <c r="A20" s="28">
        <f>IFERROR(__xludf.DUMMYFUNCTION("""COMPUTED_VALUE"""),43454.0)</f>
        <v>43454</v>
      </c>
      <c r="B20" t="str">
        <f>IFERROR(__xludf.DUMMYFUNCTION("""COMPUTED_VALUE"""),"Long term US bonds (20-25 year)")</f>
        <v>Long term US bonds (20-25 year)</v>
      </c>
      <c r="C20" s="30" t="str">
        <f>IFERROR(__xludf.DUMMYFUNCTION("""COMPUTED_VALUE"""),"iShares USD Treasury Bond 20+yr UCITS ETF")</f>
        <v>iShares USD Treasury Bond 20+yr UCITS ETF</v>
      </c>
      <c r="D20" s="31" t="str">
        <f>IFERROR(__xludf.DUMMYFUNCTION("""COMPUTED_VALUE"""),"SELL")</f>
        <v>SELL</v>
      </c>
      <c r="E20" s="32">
        <f>IFERROR(__xludf.DUMMYFUNCTION("""COMPUTED_VALUE"""),-544.0)</f>
        <v>-544</v>
      </c>
      <c r="F20" s="34">
        <f>IFERROR(__xludf.DUMMYFUNCTION("""COMPUTED_VALUE"""),3.9710294117647056)</f>
        <v>3.971029412</v>
      </c>
      <c r="G20" s="35">
        <f>IFERROR(__xludf.DUMMYFUNCTION("""COMPUTED_VALUE"""),2160.24)</f>
        <v>2160.24</v>
      </c>
      <c r="H20" s="37" t="str">
        <f t="shared" si="1"/>
        <v>iShares USD Treasury Bond 20+yr UCITS ETF@SELL@-544@2160.24</v>
      </c>
    </row>
    <row r="21">
      <c r="A21" s="28">
        <f>IFERROR(__xludf.DUMMYFUNCTION("""COMPUTED_VALUE"""),43454.0)</f>
        <v>43454</v>
      </c>
      <c r="B21" t="str">
        <f>IFERROR(__xludf.DUMMYFUNCTION("""COMPUTED_VALUE"""),"Long term US bonds (20-25 year)")</f>
        <v>Long term US bonds (20-25 year)</v>
      </c>
      <c r="C21" s="30" t="str">
        <f>IFERROR(__xludf.DUMMYFUNCTION("""COMPUTED_VALUE"""),"iShares USD Treasury Bond 20+yr UCITS ETF")</f>
        <v>iShares USD Treasury Bond 20+yr UCITS ETF</v>
      </c>
      <c r="D21" s="31" t="str">
        <f>IFERROR(__xludf.DUMMYFUNCTION("""COMPUTED_VALUE"""),"COST")</f>
        <v>COST</v>
      </c>
      <c r="E21" s="32" t="str">
        <f>IFERROR(__xludf.DUMMYFUNCTION("""COMPUTED_VALUE"""),"")</f>
        <v/>
      </c>
      <c r="F21" s="34" t="str">
        <f>IFERROR(__xludf.DUMMYFUNCTION("""COMPUTED_VALUE"""),"")</f>
        <v/>
      </c>
      <c r="G21" s="35">
        <f>IFERROR(__xludf.DUMMYFUNCTION("""COMPUTED_VALUE"""),-2.43)</f>
        <v>-2.43</v>
      </c>
      <c r="H21" s="37" t="str">
        <f t="shared" si="1"/>
        <v>iShares USD Treasury Bond 20+yr UCITS ETF@COST@@-2.43</v>
      </c>
    </row>
    <row r="22">
      <c r="A22" s="28">
        <f>IFERROR(__xludf.DUMMYFUNCTION("""COMPUTED_VALUE"""),43454.0)</f>
        <v>43454</v>
      </c>
      <c r="B22" t="str">
        <f>IFERROR(__xludf.DUMMYFUNCTION("""COMPUTED_VALUE"""),"Long term US bonds (20-25 year)")</f>
        <v>Long term US bonds (20-25 year)</v>
      </c>
      <c r="C22" s="30" t="str">
        <f>IFERROR(__xludf.DUMMYFUNCTION("""COMPUTED_VALUE"""),"iShares USD Treasury Bond 20+yr UCITS ETF")</f>
        <v>iShares USD Treasury Bond 20+yr UCITS ETF</v>
      </c>
      <c r="D22" s="31" t="str">
        <f>IFERROR(__xludf.DUMMYFUNCTION("""COMPUTED_VALUE"""),"SELL")</f>
        <v>SELL</v>
      </c>
      <c r="E22" s="32">
        <f>IFERROR(__xludf.DUMMYFUNCTION("""COMPUTED_VALUE"""),-1760.0)</f>
        <v>-1760</v>
      </c>
      <c r="F22" s="34">
        <f>IFERROR(__xludf.DUMMYFUNCTION("""COMPUTED_VALUE"""),3.9847045454545453)</f>
        <v>3.984704545</v>
      </c>
      <c r="G22" s="35">
        <f>IFERROR(__xludf.DUMMYFUNCTION("""COMPUTED_VALUE"""),7013.08)</f>
        <v>7013.08</v>
      </c>
      <c r="H22" s="37" t="str">
        <f t="shared" si="1"/>
        <v>iShares USD Treasury Bond 20+yr UCITS ETF@SELL@-1760@7013.08</v>
      </c>
    </row>
    <row r="23">
      <c r="A23" s="28">
        <f>IFERROR(__xludf.DUMMYFUNCTION("""COMPUTED_VALUE"""),43454.0)</f>
        <v>43454</v>
      </c>
      <c r="B23" t="str">
        <f>IFERROR(__xludf.DUMMYFUNCTION("""COMPUTED_VALUE"""),"Long term US bonds (20-25 year)")</f>
        <v>Long term US bonds (20-25 year)</v>
      </c>
      <c r="C23" s="30" t="str">
        <f>IFERROR(__xludf.DUMMYFUNCTION("""COMPUTED_VALUE"""),"iShares USD Treasury Bond 20+yr UCITS ETF")</f>
        <v>iShares USD Treasury Bond 20+yr UCITS ETF</v>
      </c>
      <c r="D23" s="31" t="str">
        <f>IFERROR(__xludf.DUMMYFUNCTION("""COMPUTED_VALUE"""),"COST")</f>
        <v>COST</v>
      </c>
      <c r="E23" s="32" t="str">
        <f>IFERROR(__xludf.DUMMYFUNCTION("""COMPUTED_VALUE"""),"")</f>
        <v/>
      </c>
      <c r="F23" s="34" t="str">
        <f>IFERROR(__xludf.DUMMYFUNCTION("""COMPUTED_VALUE"""),"")</f>
        <v/>
      </c>
      <c r="G23" s="35">
        <f>IFERROR(__xludf.DUMMYFUNCTION("""COMPUTED_VALUE"""),-3.41)</f>
        <v>-3.41</v>
      </c>
      <c r="H23" s="37" t="str">
        <f t="shared" si="1"/>
        <v>iShares USD Treasury Bond 20+yr UCITS ETF@COST@@-3.41</v>
      </c>
    </row>
    <row r="24">
      <c r="A24" s="28">
        <f>IFERROR(__xludf.DUMMYFUNCTION("""COMPUTED_VALUE"""),43453.0)</f>
        <v>43453</v>
      </c>
      <c r="B24" t="str">
        <f>IFERROR(__xludf.DUMMYFUNCTION("""COMPUTED_VALUE"""),"Long term US bonds (20-25 year)")</f>
        <v>Long term US bonds (20-25 year)</v>
      </c>
      <c r="C24" s="30" t="str">
        <f>IFERROR(__xludf.DUMMYFUNCTION("""COMPUTED_VALUE"""),"iShares USD Treasury Bond 20+yr UCITS ETF")</f>
        <v>iShares USD Treasury Bond 20+yr UCITS ETF</v>
      </c>
      <c r="D24" s="31" t="str">
        <f>IFERROR(__xludf.DUMMYFUNCTION("""COMPUTED_VALUE"""),"SELL")</f>
        <v>SELL</v>
      </c>
      <c r="E24" s="32">
        <f>IFERROR(__xludf.DUMMYFUNCTION("""COMPUTED_VALUE"""),-1177.0)</f>
        <v>-1177</v>
      </c>
      <c r="F24" s="34">
        <f>IFERROR(__xludf.DUMMYFUNCTION("""COMPUTED_VALUE"""),3.91928632115548)</f>
        <v>3.919286321</v>
      </c>
      <c r="G24" s="35">
        <f>IFERROR(__xludf.DUMMYFUNCTION("""COMPUTED_VALUE"""),4613.0)</f>
        <v>4613</v>
      </c>
      <c r="H24" s="37" t="str">
        <f t="shared" si="1"/>
        <v>iShares USD Treasury Bond 20+yr UCITS ETF@SELL@-1177@4613</v>
      </c>
    </row>
    <row r="25">
      <c r="A25" s="28">
        <f>IFERROR(__xludf.DUMMYFUNCTION("""COMPUTED_VALUE"""),43453.0)</f>
        <v>43453</v>
      </c>
      <c r="B25" t="str">
        <f>IFERROR(__xludf.DUMMYFUNCTION("""COMPUTED_VALUE"""),"Long term US bonds (20-25 year)")</f>
        <v>Long term US bonds (20-25 year)</v>
      </c>
      <c r="C25" s="30" t="str">
        <f>IFERROR(__xludf.DUMMYFUNCTION("""COMPUTED_VALUE"""),"iShares USD Treasury Bond 20+yr UCITS ETF")</f>
        <v>iShares USD Treasury Bond 20+yr UCITS ETF</v>
      </c>
      <c r="D25" s="31" t="str">
        <f>IFERROR(__xludf.DUMMYFUNCTION("""COMPUTED_VALUE"""),"COST")</f>
        <v>COST</v>
      </c>
      <c r="E25" s="32" t="str">
        <f>IFERROR(__xludf.DUMMYFUNCTION("""COMPUTED_VALUE"""),"")</f>
        <v/>
      </c>
      <c r="F25" s="34" t="str">
        <f>IFERROR(__xludf.DUMMYFUNCTION("""COMPUTED_VALUE"""),"")</f>
        <v/>
      </c>
      <c r="G25" s="35">
        <f>IFERROR(__xludf.DUMMYFUNCTION("""COMPUTED_VALUE"""),-2.92)</f>
        <v>-2.92</v>
      </c>
      <c r="H25" s="37" t="str">
        <f t="shared" si="1"/>
        <v>iShares USD Treasury Bond 20+yr UCITS ETF@COST@@-2.92</v>
      </c>
    </row>
    <row r="26">
      <c r="A26" s="28">
        <f>IFERROR(__xludf.DUMMYFUNCTION("""COMPUTED_VALUE"""),43452.0)</f>
        <v>43452</v>
      </c>
      <c r="B26" t="str">
        <f>IFERROR(__xludf.DUMMYFUNCTION("""COMPUTED_VALUE"""),"Gold")</f>
        <v>Gold</v>
      </c>
      <c r="C26" s="30" t="str">
        <f>IFERROR(__xludf.DUMMYFUNCTION("""COMPUTED_VALUE"""),"ETFS Physical Gold")</f>
        <v>ETFS Physical Gold</v>
      </c>
      <c r="D26" s="31" t="str">
        <f>IFERROR(__xludf.DUMMYFUNCTION("""COMPUTED_VALUE"""),"SELL")</f>
        <v>SELL</v>
      </c>
      <c r="E26" s="32">
        <f>IFERROR(__xludf.DUMMYFUNCTION("""COMPUTED_VALUE"""),-10.0)</f>
        <v>-10</v>
      </c>
      <c r="F26" s="34">
        <f>IFERROR(__xludf.DUMMYFUNCTION("""COMPUTED_VALUE"""),104.83)</f>
        <v>104.83</v>
      </c>
      <c r="G26" s="35">
        <f>IFERROR(__xludf.DUMMYFUNCTION("""COMPUTED_VALUE"""),1048.3)</f>
        <v>1048.3</v>
      </c>
      <c r="H26" s="37" t="str">
        <f t="shared" si="1"/>
        <v>ETFS Physical Gold@SELL@-10@1048.3</v>
      </c>
    </row>
    <row r="27">
      <c r="A27" s="28">
        <f>IFERROR(__xludf.DUMMYFUNCTION("""COMPUTED_VALUE"""),43452.0)</f>
        <v>43452</v>
      </c>
      <c r="B27" t="str">
        <f>IFERROR(__xludf.DUMMYFUNCTION("""COMPUTED_VALUE"""),"Intermediate US bonds (7-10 year)")</f>
        <v>Intermediate US bonds (7-10 year)</v>
      </c>
      <c r="C27" s="30" t="str">
        <f>IFERROR(__xludf.DUMMYFUNCTION("""COMPUTED_VALUE"""),"iShares USD Treasury Bond 7-10yr UCITS ETF USD Dist")</f>
        <v>iShares USD Treasury Bond 7-10yr UCITS ETF USD Dist</v>
      </c>
      <c r="D27" s="31" t="str">
        <f>IFERROR(__xludf.DUMMYFUNCTION("""COMPUTED_VALUE"""),"SELL")</f>
        <v>SELL</v>
      </c>
      <c r="E27" s="32">
        <f>IFERROR(__xludf.DUMMYFUNCTION("""COMPUTED_VALUE"""),-15.0)</f>
        <v>-15</v>
      </c>
      <c r="F27" s="34">
        <f>IFERROR(__xludf.DUMMYFUNCTION("""COMPUTED_VALUE"""),166.3)</f>
        <v>166.3</v>
      </c>
      <c r="G27" s="35">
        <f>IFERROR(__xludf.DUMMYFUNCTION("""COMPUTED_VALUE"""),2494.5)</f>
        <v>2494.5</v>
      </c>
      <c r="H27" s="37" t="str">
        <f t="shared" si="1"/>
        <v>iShares USD Treasury Bond 7-10yr UCITS ETF USD Dist@SELL@-15@2494.5</v>
      </c>
    </row>
    <row r="28">
      <c r="A28" s="28">
        <f>IFERROR(__xludf.DUMMYFUNCTION("""COMPUTED_VALUE"""),43451.0)</f>
        <v>43451</v>
      </c>
      <c r="B28" t="str">
        <f>IFERROR(__xludf.DUMMYFUNCTION("""COMPUTED_VALUE"""),"Stocks")</f>
        <v>Stocks</v>
      </c>
      <c r="C28" s="30" t="str">
        <f>IFERROR(__xludf.DUMMYFUNCTION("""COMPUTED_VALUE"""),"Vanguard S&amp;P 500 UCITS ETF")</f>
        <v>Vanguard S&amp;P 500 UCITS ETF</v>
      </c>
      <c r="D28" s="31" t="str">
        <f>IFERROR(__xludf.DUMMYFUNCTION("""COMPUTED_VALUE"""),"COST")</f>
        <v>COST</v>
      </c>
      <c r="E28" s="32" t="str">
        <f>IFERROR(__xludf.DUMMYFUNCTION("""COMPUTED_VALUE"""),"")</f>
        <v/>
      </c>
      <c r="F28" s="34" t="str">
        <f>IFERROR(__xludf.DUMMYFUNCTION("""COMPUTED_VALUE"""),"")</f>
        <v/>
      </c>
      <c r="G28" s="35">
        <f>IFERROR(__xludf.DUMMYFUNCTION("""COMPUTED_VALUE"""),-2.42)</f>
        <v>-2.42</v>
      </c>
      <c r="H28" s="37" t="str">
        <f t="shared" si="1"/>
        <v>Vanguard S&amp;P 500 UCITS ETF@COST@@-2.42</v>
      </c>
    </row>
    <row r="29">
      <c r="A29" s="28">
        <f>IFERROR(__xludf.DUMMYFUNCTION("""COMPUTED_VALUE"""),43451.0)</f>
        <v>43451</v>
      </c>
      <c r="B29" t="str">
        <f>IFERROR(__xludf.DUMMYFUNCTION("""COMPUTED_VALUE"""),"Stocks")</f>
        <v>Stocks</v>
      </c>
      <c r="C29" s="30" t="str">
        <f>IFERROR(__xludf.DUMMYFUNCTION("""COMPUTED_VALUE"""),"Vanguard S&amp;P 500 UCITS ETF")</f>
        <v>Vanguard S&amp;P 500 UCITS ETF</v>
      </c>
      <c r="D29" s="31" t="str">
        <f>IFERROR(__xludf.DUMMYFUNCTION("""COMPUTED_VALUE"""),"BUY")</f>
        <v>BUY</v>
      </c>
      <c r="E29" s="32">
        <f>IFERROR(__xludf.DUMMYFUNCTION("""COMPUTED_VALUE"""),48.0)</f>
        <v>48</v>
      </c>
      <c r="F29" s="34">
        <f>IFERROR(__xludf.DUMMYFUNCTION("""COMPUTED_VALUE"""),43.36000000000001)</f>
        <v>43.36</v>
      </c>
      <c r="G29" s="35">
        <f>IFERROR(__xludf.DUMMYFUNCTION("""COMPUTED_VALUE"""),-2081.28)</f>
        <v>-2081.28</v>
      </c>
      <c r="H29" s="37" t="str">
        <f t="shared" si="1"/>
        <v>Vanguard S&amp;P 500 UCITS ETF@BUY@48@-2081.28</v>
      </c>
    </row>
    <row r="30">
      <c r="A30" s="28" t="str">
        <f>IFERROR(__xludf.DUMMYFUNCTION("""COMPUTED_VALUE"""),"#VALUE!")</f>
        <v>#VALUE!</v>
      </c>
      <c r="B30" t="str">
        <f>IFERROR(__xludf.DUMMYFUNCTION("""COMPUTED_VALUE"""),"")</f>
        <v/>
      </c>
      <c r="C30" s="30" t="str">
        <f>IFERROR(__xludf.DUMMYFUNCTION("""COMPUTED_VALUE"""),"")</f>
        <v/>
      </c>
      <c r="D30" s="31" t="str">
        <f>IFERROR(__xludf.DUMMYFUNCTION("""COMPUTED_VALUE"""),"#VALUE!")</f>
        <v>#VALUE!</v>
      </c>
      <c r="E30" s="32" t="str">
        <f>IFERROR(__xludf.DUMMYFUNCTION("""COMPUTED_VALUE"""),"")</f>
        <v/>
      </c>
      <c r="F30" s="34" t="str">
        <f>IFERROR(__xludf.DUMMYFUNCTION("""COMPUTED_VALUE"""),"")</f>
        <v/>
      </c>
      <c r="G30" s="35">
        <f>IFERROR(__xludf.DUMMYFUNCTION("""COMPUTED_VALUE"""),0.0)</f>
        <v>0</v>
      </c>
      <c r="H30" s="37" t="str">
        <f t="shared" si="1"/>
        <v>#VALUE!</v>
      </c>
    </row>
    <row r="31">
      <c r="A31" s="28">
        <f>IFERROR(__xludf.DUMMYFUNCTION("""COMPUTED_VALUE"""),43451.0)</f>
        <v>43451</v>
      </c>
      <c r="B31" t="str">
        <f>IFERROR(__xludf.DUMMYFUNCTION("""COMPUTED_VALUE"""),"Stocks")</f>
        <v>Stocks</v>
      </c>
      <c r="C31" s="30" t="str">
        <f>IFERROR(__xludf.DUMMYFUNCTION("""COMPUTED_VALUE"""),"Vanguard S&amp;P 500 UCITS ETF")</f>
        <v>Vanguard S&amp;P 500 UCITS ETF</v>
      </c>
      <c r="D31" s="31" t="str">
        <f>IFERROR(__xludf.DUMMYFUNCTION("""COMPUTED_VALUE"""),"COST")</f>
        <v>COST</v>
      </c>
      <c r="E31" s="32" t="str">
        <f>IFERROR(__xludf.DUMMYFUNCTION("""COMPUTED_VALUE"""),"")</f>
        <v/>
      </c>
      <c r="F31" s="34" t="str">
        <f>IFERROR(__xludf.DUMMYFUNCTION("""COMPUTED_VALUE"""),"")</f>
        <v/>
      </c>
      <c r="G31" s="35">
        <f>IFERROR(__xludf.DUMMYFUNCTION("""COMPUTED_VALUE"""),-2.52)</f>
        <v>-2.52</v>
      </c>
      <c r="H31" s="37" t="str">
        <f t="shared" si="1"/>
        <v>Vanguard S&amp;P 500 UCITS ETF@COST@@-2.52</v>
      </c>
    </row>
    <row r="32">
      <c r="A32" s="28">
        <f>IFERROR(__xludf.DUMMYFUNCTION("""COMPUTED_VALUE"""),43451.0)</f>
        <v>43451</v>
      </c>
      <c r="B32" t="str">
        <f>IFERROR(__xludf.DUMMYFUNCTION("""COMPUTED_VALUE"""),"Stocks")</f>
        <v>Stocks</v>
      </c>
      <c r="C32" s="30" t="str">
        <f>IFERROR(__xludf.DUMMYFUNCTION("""COMPUTED_VALUE"""),"Vanguard S&amp;P 500 UCITS ETF")</f>
        <v>Vanguard S&amp;P 500 UCITS ETF</v>
      </c>
      <c r="D32" s="31" t="str">
        <f>IFERROR(__xludf.DUMMYFUNCTION("""COMPUTED_VALUE"""),"BUY")</f>
        <v>BUY</v>
      </c>
      <c r="E32" s="32">
        <f>IFERROR(__xludf.DUMMYFUNCTION("""COMPUTED_VALUE"""),60.0)</f>
        <v>60</v>
      </c>
      <c r="F32" s="34">
        <f>IFERROR(__xludf.DUMMYFUNCTION("""COMPUTED_VALUE"""),43.37)</f>
        <v>43.37</v>
      </c>
      <c r="G32" s="35">
        <f>IFERROR(__xludf.DUMMYFUNCTION("""COMPUTED_VALUE"""),-2602.2)</f>
        <v>-2602.2</v>
      </c>
      <c r="H32" s="37" t="str">
        <f t="shared" si="1"/>
        <v>Vanguard S&amp;P 500 UCITS ETF@BUY@60@-2602.2</v>
      </c>
    </row>
    <row r="33">
      <c r="A33" s="28">
        <f>IFERROR(__xludf.DUMMYFUNCTION("""COMPUTED_VALUE"""),43451.0)</f>
        <v>43451</v>
      </c>
      <c r="B33" t="str">
        <f>IFERROR(__xludf.DUMMYFUNCTION("""COMPUTED_VALUE"""),"Stocks")</f>
        <v>Stocks</v>
      </c>
      <c r="C33" s="30" t="str">
        <f>IFERROR(__xludf.DUMMYFUNCTION("""COMPUTED_VALUE"""),"Vanguard S&amp;P 500 UCITS ETF")</f>
        <v>Vanguard S&amp;P 500 UCITS ETF</v>
      </c>
      <c r="D33" s="31" t="str">
        <f>IFERROR(__xludf.DUMMYFUNCTION("""COMPUTED_VALUE"""),"COST")</f>
        <v>COST</v>
      </c>
      <c r="E33" s="32" t="str">
        <f>IFERROR(__xludf.DUMMYFUNCTION("""COMPUTED_VALUE"""),"")</f>
        <v/>
      </c>
      <c r="F33" s="34" t="str">
        <f>IFERROR(__xludf.DUMMYFUNCTION("""COMPUTED_VALUE"""),"")</f>
        <v/>
      </c>
      <c r="G33" s="35">
        <f>IFERROR(__xludf.DUMMYFUNCTION("""COMPUTED_VALUE"""),-2.77)</f>
        <v>-2.77</v>
      </c>
      <c r="H33" s="37" t="str">
        <f t="shared" si="1"/>
        <v>Vanguard S&amp;P 500 UCITS ETF@COST@@-2.77</v>
      </c>
    </row>
    <row r="34">
      <c r="A34" s="28">
        <f>IFERROR(__xludf.DUMMYFUNCTION("""COMPUTED_VALUE"""),43451.0)</f>
        <v>43451</v>
      </c>
      <c r="B34" t="str">
        <f>IFERROR(__xludf.DUMMYFUNCTION("""COMPUTED_VALUE"""),"Stocks")</f>
        <v>Stocks</v>
      </c>
      <c r="C34" s="30" t="str">
        <f>IFERROR(__xludf.DUMMYFUNCTION("""COMPUTED_VALUE"""),"Vanguard S&amp;P 500 UCITS ETF")</f>
        <v>Vanguard S&amp;P 500 UCITS ETF</v>
      </c>
      <c r="D34" s="31" t="str">
        <f>IFERROR(__xludf.DUMMYFUNCTION("""COMPUTED_VALUE"""),"BUY")</f>
        <v>BUY</v>
      </c>
      <c r="E34" s="32">
        <f>IFERROR(__xludf.DUMMYFUNCTION("""COMPUTED_VALUE"""),88.0)</f>
        <v>88</v>
      </c>
      <c r="F34" s="34">
        <f>IFERROR(__xludf.DUMMYFUNCTION("""COMPUTED_VALUE"""),43.699999999999996)</f>
        <v>43.7</v>
      </c>
      <c r="G34" s="35">
        <f>IFERROR(__xludf.DUMMYFUNCTION("""COMPUTED_VALUE"""),-3845.6)</f>
        <v>-3845.6</v>
      </c>
      <c r="H34" s="37" t="str">
        <f t="shared" si="1"/>
        <v>Vanguard S&amp;P 500 UCITS ETF@BUY@88@-3845.6</v>
      </c>
    </row>
    <row r="35">
      <c r="A35" s="28">
        <f>IFERROR(__xludf.DUMMYFUNCTION("""COMPUTED_VALUE"""),43448.0)</f>
        <v>43448</v>
      </c>
      <c r="B35" t="str">
        <f>IFERROR(__xludf.DUMMYFUNCTION("""COMPUTED_VALUE"""),"Stocks")</f>
        <v>Stocks</v>
      </c>
      <c r="C35" s="30" t="str">
        <f>IFERROR(__xludf.DUMMYFUNCTION("""COMPUTED_VALUE"""),"Vanguard S&amp;P 500 UCITS ETF")</f>
        <v>Vanguard S&amp;P 500 UCITS ETF</v>
      </c>
      <c r="D35" s="31" t="str">
        <f>IFERROR(__xludf.DUMMYFUNCTION("""COMPUTED_VALUE"""),"COST")</f>
        <v>COST</v>
      </c>
      <c r="E35" s="32" t="str">
        <f>IFERROR(__xludf.DUMMYFUNCTION("""COMPUTED_VALUE"""),"")</f>
        <v/>
      </c>
      <c r="F35" s="34" t="str">
        <f>IFERROR(__xludf.DUMMYFUNCTION("""COMPUTED_VALUE"""),"")</f>
        <v/>
      </c>
      <c r="G35" s="35">
        <f>IFERROR(__xludf.DUMMYFUNCTION("""COMPUTED_VALUE"""),-3.69)</f>
        <v>-3.69</v>
      </c>
      <c r="H35" s="37" t="str">
        <f t="shared" si="1"/>
        <v>Vanguard S&amp;P 500 UCITS ETF@COST@@-3.69</v>
      </c>
    </row>
    <row r="36">
      <c r="A36" s="28">
        <f>IFERROR(__xludf.DUMMYFUNCTION("""COMPUTED_VALUE"""),43448.0)</f>
        <v>43448</v>
      </c>
      <c r="B36" t="str">
        <f>IFERROR(__xludf.DUMMYFUNCTION("""COMPUTED_VALUE"""),"Stocks")</f>
        <v>Stocks</v>
      </c>
      <c r="C36" s="30" t="str">
        <f>IFERROR(__xludf.DUMMYFUNCTION("""COMPUTED_VALUE"""),"Vanguard S&amp;P 500 UCITS ETF")</f>
        <v>Vanguard S&amp;P 500 UCITS ETF</v>
      </c>
      <c r="D36" s="31" t="str">
        <f>IFERROR(__xludf.DUMMYFUNCTION("""COMPUTED_VALUE"""),"SELL")</f>
        <v>SELL</v>
      </c>
      <c r="E36" s="32">
        <f>IFERROR(__xludf.DUMMYFUNCTION("""COMPUTED_VALUE"""),-190.0)</f>
        <v>-190</v>
      </c>
      <c r="F36" s="34">
        <f>IFERROR(__xludf.DUMMYFUNCTION("""COMPUTED_VALUE"""),44.39)</f>
        <v>44.39</v>
      </c>
      <c r="G36" s="35">
        <f>IFERROR(__xludf.DUMMYFUNCTION("""COMPUTED_VALUE"""),8434.1)</f>
        <v>8434.1</v>
      </c>
      <c r="H36" s="37" t="str">
        <f t="shared" si="1"/>
        <v>Vanguard S&amp;P 500 UCITS ETF@SELL@-190@8434.1</v>
      </c>
    </row>
    <row r="37">
      <c r="A37" s="28">
        <f>IFERROR(__xludf.DUMMYFUNCTION("""COMPUTED_VALUE"""),43441.0)</f>
        <v>43441</v>
      </c>
      <c r="B37" t="str">
        <f>IFERROR(__xludf.DUMMYFUNCTION("""COMPUTED_VALUE"""),"Commodities")</f>
        <v>Commodities</v>
      </c>
      <c r="C37" s="30" t="str">
        <f>IFERROR(__xludf.DUMMYFUNCTION("""COMPUTED_VALUE"""),"ETFS All Commodities")</f>
        <v>ETFS All Commodities</v>
      </c>
      <c r="D37" s="31" t="str">
        <f>IFERROR(__xludf.DUMMYFUNCTION("""COMPUTED_VALUE"""),"BUY")</f>
        <v>BUY</v>
      </c>
      <c r="E37" s="32">
        <f>IFERROR(__xludf.DUMMYFUNCTION("""COMPUTED_VALUE"""),255.0)</f>
        <v>255</v>
      </c>
      <c r="F37" s="34">
        <f>IFERROR(__xludf.DUMMYFUNCTION("""COMPUTED_VALUE"""),7.357019607843137)</f>
        <v>7.357019608</v>
      </c>
      <c r="G37" s="35">
        <f>IFERROR(__xludf.DUMMYFUNCTION("""COMPUTED_VALUE"""),-1876.04)</f>
        <v>-1876.04</v>
      </c>
      <c r="H37" s="37" t="str">
        <f t="shared" si="1"/>
        <v>ETFS All Commodities@BUY@255@-1876.04</v>
      </c>
    </row>
    <row r="38">
      <c r="A38" s="28">
        <f>IFERROR(__xludf.DUMMYFUNCTION("""COMPUTED_VALUE"""),43441.0)</f>
        <v>43441</v>
      </c>
      <c r="B38" t="str">
        <f>IFERROR(__xludf.DUMMYFUNCTION("""COMPUTED_VALUE"""),"Stocks")</f>
        <v>Stocks</v>
      </c>
      <c r="C38" s="30" t="str">
        <f>IFERROR(__xludf.DUMMYFUNCTION("""COMPUTED_VALUE"""),"Vanguard S&amp;P 500 UCITS ETF")</f>
        <v>Vanguard S&amp;P 500 UCITS ETF</v>
      </c>
      <c r="D38" s="31" t="str">
        <f>IFERROR(__xludf.DUMMYFUNCTION("""COMPUTED_VALUE"""),"BUY")</f>
        <v>BUY</v>
      </c>
      <c r="E38" s="32">
        <f>IFERROR(__xludf.DUMMYFUNCTION("""COMPUTED_VALUE"""),91.0)</f>
        <v>91</v>
      </c>
      <c r="F38" s="34">
        <f>IFERROR(__xludf.DUMMYFUNCTION("""COMPUTED_VALUE"""),44.73494505494506)</f>
        <v>44.73494505</v>
      </c>
      <c r="G38" s="35">
        <f>IFERROR(__xludf.DUMMYFUNCTION("""COMPUTED_VALUE"""),-4070.88)</f>
        <v>-4070.88</v>
      </c>
      <c r="H38" s="37" t="str">
        <f t="shared" si="1"/>
        <v>Vanguard S&amp;P 500 UCITS ETF@BUY@91@-4070.88</v>
      </c>
    </row>
    <row r="39">
      <c r="A39" s="28">
        <f>IFERROR(__xludf.DUMMYFUNCTION("""COMPUTED_VALUE"""),43440.0)</f>
        <v>43440</v>
      </c>
      <c r="B39" t="str">
        <f>IFERROR(__xludf.DUMMYFUNCTION("""COMPUTED_VALUE"""),"Long term US bonds (20-25 year)")</f>
        <v>Long term US bonds (20-25 year)</v>
      </c>
      <c r="C39" s="30" t="str">
        <f>IFERROR(__xludf.DUMMYFUNCTION("""COMPUTED_VALUE"""),"iShares USD Treasury Bond 20+yr UCITS ETF")</f>
        <v>iShares USD Treasury Bond 20+yr UCITS ETF</v>
      </c>
      <c r="D39" s="31" t="str">
        <f>IFERROR(__xludf.DUMMYFUNCTION("""COMPUTED_VALUE"""),"SELL")</f>
        <v>SELL</v>
      </c>
      <c r="E39" s="32">
        <f>IFERROR(__xludf.DUMMYFUNCTION("""COMPUTED_VALUE"""),-392.0)</f>
        <v>-392</v>
      </c>
      <c r="F39" s="34">
        <f>IFERROR(__xludf.DUMMYFUNCTION("""COMPUTED_VALUE"""),3.9351530612244896)</f>
        <v>3.935153061</v>
      </c>
      <c r="G39" s="35">
        <f>IFERROR(__xludf.DUMMYFUNCTION("""COMPUTED_VALUE"""),1542.58)</f>
        <v>1542.58</v>
      </c>
      <c r="H39" s="37" t="str">
        <f t="shared" si="1"/>
        <v>iShares USD Treasury Bond 20+yr UCITS ETF@SELL@-392@1542.58</v>
      </c>
    </row>
    <row r="40">
      <c r="A40" s="28">
        <f>IFERROR(__xludf.DUMMYFUNCTION("""COMPUTED_VALUE"""),43440.0)</f>
        <v>43440</v>
      </c>
      <c r="B40" t="str">
        <f>IFERROR(__xludf.DUMMYFUNCTION("""COMPUTED_VALUE"""),"Long term US bonds (20-25 year)")</f>
        <v>Long term US bonds (20-25 year)</v>
      </c>
      <c r="C40" s="30" t="str">
        <f>IFERROR(__xludf.DUMMYFUNCTION("""COMPUTED_VALUE"""),"iShares USD Treasury Bond 20+yr UCITS ETF")</f>
        <v>iShares USD Treasury Bond 20+yr UCITS ETF</v>
      </c>
      <c r="D40" s="31" t="str">
        <f>IFERROR(__xludf.DUMMYFUNCTION("""COMPUTED_VALUE"""),"COST")</f>
        <v>COST</v>
      </c>
      <c r="E40" s="32" t="str">
        <f>IFERROR(__xludf.DUMMYFUNCTION("""COMPUTED_VALUE"""),"")</f>
        <v/>
      </c>
      <c r="F40" s="34" t="str">
        <f>IFERROR(__xludf.DUMMYFUNCTION("""COMPUTED_VALUE"""),"")</f>
        <v/>
      </c>
      <c r="G40" s="35">
        <f>IFERROR(__xludf.DUMMYFUNCTION("""COMPUTED_VALUE"""),-2.31)</f>
        <v>-2.31</v>
      </c>
      <c r="H40" s="37" t="str">
        <f t="shared" si="1"/>
        <v>iShares USD Treasury Bond 20+yr UCITS ETF@COST@@-2.31</v>
      </c>
    </row>
    <row r="41">
      <c r="A41" s="28">
        <f>IFERROR(__xludf.DUMMYFUNCTION("""COMPUTED_VALUE"""),43440.0)</f>
        <v>43440</v>
      </c>
      <c r="B41" t="str">
        <f>IFERROR(__xludf.DUMMYFUNCTION("""COMPUTED_VALUE"""),"Stocks")</f>
        <v>Stocks</v>
      </c>
      <c r="C41" s="30" t="str">
        <f>IFERROR(__xludf.DUMMYFUNCTION("""COMPUTED_VALUE"""),"Vanguard S&amp;P 500 UCITS ETF")</f>
        <v>Vanguard S&amp;P 500 UCITS ETF</v>
      </c>
      <c r="D41" s="31" t="str">
        <f>IFERROR(__xludf.DUMMYFUNCTION("""COMPUTED_VALUE"""),"BUY")</f>
        <v>BUY</v>
      </c>
      <c r="E41" s="32">
        <f>IFERROR(__xludf.DUMMYFUNCTION("""COMPUTED_VALUE"""),236.0)</f>
        <v>236</v>
      </c>
      <c r="F41" s="34">
        <f>IFERROR(__xludf.DUMMYFUNCTION("""COMPUTED_VALUE"""),44.57800847457627)</f>
        <v>44.57800847</v>
      </c>
      <c r="G41" s="35">
        <f>IFERROR(__xludf.DUMMYFUNCTION("""COMPUTED_VALUE"""),-10520.41)</f>
        <v>-10520.41</v>
      </c>
      <c r="H41" s="37" t="str">
        <f t="shared" si="1"/>
        <v>Vanguard S&amp;P 500 UCITS ETF@BUY@236@-10520.41</v>
      </c>
    </row>
    <row r="42">
      <c r="A42" s="28">
        <f>IFERROR(__xludf.DUMMYFUNCTION("""COMPUTED_VALUE"""),43438.0)</f>
        <v>43438</v>
      </c>
      <c r="B42" t="str">
        <f>IFERROR(__xludf.DUMMYFUNCTION("""COMPUTED_VALUE"""),"")</f>
        <v/>
      </c>
      <c r="C42" s="30" t="str">
        <f>IFERROR(__xludf.DUMMYFUNCTION("""COMPUTED_VALUE"""),"")</f>
        <v/>
      </c>
      <c r="D42" s="31" t="str">
        <f>IFERROR(__xludf.DUMMYFUNCTION("""COMPUTED_VALUE"""),"COST")</f>
        <v>COST</v>
      </c>
      <c r="E42" s="32" t="str">
        <f>IFERROR(__xludf.DUMMYFUNCTION("""COMPUTED_VALUE"""),"")</f>
        <v/>
      </c>
      <c r="F42" s="34" t="str">
        <f>IFERROR(__xludf.DUMMYFUNCTION("""COMPUTED_VALUE"""),"")</f>
        <v/>
      </c>
      <c r="G42" s="35">
        <f>IFERROR(__xludf.DUMMYFUNCTION("""COMPUTED_VALUE"""),-579.07)</f>
        <v>-579.07</v>
      </c>
      <c r="H42" s="37" t="str">
        <f t="shared" si="1"/>
        <v>@COST@@-579.07</v>
      </c>
    </row>
    <row r="43">
      <c r="A43" s="28">
        <f>IFERROR(__xludf.DUMMYFUNCTION("""COMPUTED_VALUE"""),43438.0)</f>
        <v>43438</v>
      </c>
      <c r="B43" t="str">
        <f>IFERROR(__xludf.DUMMYFUNCTION("""COMPUTED_VALUE"""),"")</f>
        <v/>
      </c>
      <c r="C43" s="30" t="str">
        <f>IFERROR(__xludf.DUMMYFUNCTION("""COMPUTED_VALUE"""),"")</f>
        <v/>
      </c>
      <c r="D43" s="31" t="str">
        <f>IFERROR(__xludf.DUMMYFUNCTION("""COMPUTED_VALUE"""),"APPROVISIONNEMENT")</f>
        <v>APPROVISIONNEMENT</v>
      </c>
      <c r="E43" s="32" t="str">
        <f>IFERROR(__xludf.DUMMYFUNCTION("""COMPUTED_VALUE"""),"")</f>
        <v/>
      </c>
      <c r="F43" s="34" t="str">
        <f>IFERROR(__xludf.DUMMYFUNCTION("""COMPUTED_VALUE"""),"")</f>
        <v/>
      </c>
      <c r="G43" s="35">
        <f>IFERROR(__xludf.DUMMYFUNCTION("""COMPUTED_VALUE"""),-1500.0)</f>
        <v>-1500</v>
      </c>
      <c r="H43" s="37" t="str">
        <f t="shared" si="1"/>
        <v>@APPROVISIONNEMENT@@-1500</v>
      </c>
    </row>
    <row r="44">
      <c r="A44" s="28" t="str">
        <f>IFERROR(__xludf.DUMMYFUNCTION("""COMPUTED_VALUE"""),"")</f>
        <v/>
      </c>
      <c r="B44" t="str">
        <f>IFERROR(__xludf.DUMMYFUNCTION("""COMPUTED_VALUE"""),"")</f>
        <v/>
      </c>
      <c r="C44" s="30" t="str">
        <f>IFERROR(__xludf.DUMMYFUNCTION("""COMPUTED_VALUE"""),"")</f>
        <v/>
      </c>
      <c r="D44" s="31" t="str">
        <f>IFERROR(__xludf.DUMMYFUNCTION("""COMPUTED_VALUE"""),"")</f>
        <v/>
      </c>
      <c r="E44" s="32" t="str">
        <f>IFERROR(__xludf.DUMMYFUNCTION("""COMPUTED_VALUE"""),"")</f>
        <v/>
      </c>
      <c r="F44" s="34" t="str">
        <f>IFERROR(__xludf.DUMMYFUNCTION("""COMPUTED_VALUE"""),"")</f>
        <v/>
      </c>
      <c r="G44" s="35" t="str">
        <f>IFERROR(__xludf.DUMMYFUNCTION("""COMPUTED_VALUE"""),"")</f>
        <v/>
      </c>
      <c r="H44" s="37" t="str">
        <f t="shared" si="1"/>
        <v/>
      </c>
    </row>
    <row r="45">
      <c r="A45" s="28"/>
      <c r="C45" s="30"/>
      <c r="D45" s="31"/>
      <c r="E45" s="32"/>
      <c r="F45" s="34"/>
      <c r="G45" s="35"/>
      <c r="H45" s="37" t="str">
        <f t="shared" si="1"/>
        <v/>
      </c>
    </row>
    <row r="46">
      <c r="A46" s="28"/>
      <c r="C46" s="30"/>
      <c r="D46" s="31"/>
      <c r="E46" s="32"/>
      <c r="F46" s="34"/>
      <c r="G46" s="35"/>
      <c r="H46" s="37" t="str">
        <f t="shared" si="1"/>
        <v/>
      </c>
    </row>
    <row r="47">
      <c r="A47" s="28"/>
      <c r="C47" s="30"/>
      <c r="D47" s="31"/>
      <c r="E47" s="32"/>
      <c r="F47" s="34"/>
      <c r="G47" s="35"/>
      <c r="H47" s="37" t="str">
        <f t="shared" si="1"/>
        <v/>
      </c>
    </row>
    <row r="48">
      <c r="A48" s="28"/>
      <c r="C48" s="30"/>
      <c r="D48" s="31"/>
      <c r="E48" s="32"/>
      <c r="F48" s="34"/>
      <c r="G48" s="35"/>
      <c r="H48" s="37" t="str">
        <f t="shared" si="1"/>
        <v/>
      </c>
    </row>
    <row r="49">
      <c r="A49" s="28"/>
      <c r="C49" s="30"/>
      <c r="D49" s="31"/>
      <c r="E49" s="32"/>
      <c r="F49" s="34"/>
      <c r="G49" s="35"/>
      <c r="H49" s="37" t="str">
        <f t="shared" si="1"/>
        <v/>
      </c>
    </row>
    <row r="50">
      <c r="A50" s="28"/>
      <c r="C50" s="30"/>
      <c r="D50" s="31"/>
      <c r="E50" s="32"/>
      <c r="F50" s="34"/>
      <c r="G50" s="35"/>
      <c r="H50" s="37" t="str">
        <f t="shared" si="1"/>
        <v/>
      </c>
    </row>
    <row r="51">
      <c r="A51" s="28"/>
      <c r="C51" s="30"/>
      <c r="D51" s="31"/>
      <c r="E51" s="32"/>
      <c r="F51" s="34"/>
      <c r="G51" s="35"/>
      <c r="H51" s="37" t="str">
        <f t="shared" si="1"/>
        <v/>
      </c>
    </row>
    <row r="52">
      <c r="A52" s="28"/>
      <c r="C52" s="30"/>
      <c r="D52" s="31"/>
      <c r="E52" s="32"/>
      <c r="F52" s="34"/>
      <c r="G52" s="35"/>
      <c r="H52" s="37" t="str">
        <f t="shared" si="1"/>
        <v/>
      </c>
    </row>
    <row r="53">
      <c r="A53" s="28"/>
      <c r="C53" s="30"/>
      <c r="D53" s="31"/>
      <c r="E53" s="32"/>
      <c r="F53" s="34"/>
      <c r="G53" s="35"/>
      <c r="H53" s="37" t="str">
        <f t="shared" si="1"/>
        <v/>
      </c>
    </row>
    <row r="54">
      <c r="A54" s="28"/>
      <c r="C54" s="30"/>
      <c r="D54" s="31"/>
      <c r="E54" s="32"/>
      <c r="F54" s="34"/>
      <c r="G54" s="35"/>
      <c r="H54" s="37" t="str">
        <f t="shared" si="1"/>
        <v/>
      </c>
    </row>
    <row r="55">
      <c r="A55" s="28"/>
      <c r="C55" s="30"/>
      <c r="D55" s="31"/>
      <c r="E55" s="32"/>
      <c r="F55" s="34"/>
      <c r="G55" s="35"/>
      <c r="H55" s="37" t="str">
        <f t="shared" si="1"/>
        <v/>
      </c>
    </row>
    <row r="56">
      <c r="A56" s="28"/>
      <c r="C56" s="30"/>
      <c r="D56" s="31"/>
      <c r="E56" s="32"/>
      <c r="F56" s="34"/>
      <c r="G56" s="35"/>
      <c r="H56" s="37" t="str">
        <f t="shared" si="1"/>
        <v/>
      </c>
    </row>
    <row r="57">
      <c r="A57" s="28"/>
      <c r="C57" s="30"/>
      <c r="D57" s="31"/>
      <c r="E57" s="32"/>
      <c r="F57" s="34"/>
      <c r="G57" s="35"/>
      <c r="H57" s="37" t="str">
        <f t="shared" si="1"/>
        <v/>
      </c>
    </row>
    <row r="58">
      <c r="A58" s="28"/>
      <c r="C58" s="30"/>
      <c r="D58" s="31"/>
      <c r="E58" s="32"/>
      <c r="F58" s="34"/>
      <c r="G58" s="35"/>
      <c r="H58" s="37" t="str">
        <f t="shared" si="1"/>
        <v/>
      </c>
    </row>
    <row r="59">
      <c r="A59" s="28"/>
      <c r="C59" s="30"/>
      <c r="D59" s="31"/>
      <c r="E59" s="32"/>
      <c r="F59" s="34"/>
      <c r="G59" s="35"/>
      <c r="H59" s="37" t="str">
        <f t="shared" si="1"/>
        <v/>
      </c>
    </row>
    <row r="60">
      <c r="A60" s="28"/>
      <c r="C60" s="30"/>
      <c r="D60" s="31"/>
      <c r="E60" s="32"/>
      <c r="F60" s="34"/>
      <c r="G60" s="35"/>
      <c r="H60" s="37" t="str">
        <f t="shared" si="1"/>
        <v/>
      </c>
    </row>
    <row r="61">
      <c r="A61" s="28"/>
      <c r="C61" s="30"/>
      <c r="D61" s="31"/>
      <c r="E61" s="32"/>
      <c r="F61" s="34"/>
      <c r="G61" s="35"/>
      <c r="H61" s="37" t="str">
        <f t="shared" si="1"/>
        <v/>
      </c>
    </row>
    <row r="62">
      <c r="A62" s="28"/>
      <c r="C62" s="30"/>
      <c r="D62" s="31"/>
      <c r="E62" s="32"/>
      <c r="F62" s="34"/>
      <c r="G62" s="35"/>
      <c r="H62" s="37" t="str">
        <f t="shared" si="1"/>
        <v/>
      </c>
    </row>
    <row r="63">
      <c r="A63" s="28"/>
      <c r="C63" s="30"/>
      <c r="D63" s="31"/>
      <c r="E63" s="32"/>
      <c r="F63" s="34"/>
      <c r="G63" s="35"/>
      <c r="H63" s="37" t="str">
        <f t="shared" si="1"/>
        <v/>
      </c>
    </row>
    <row r="64">
      <c r="A64" s="28"/>
      <c r="C64" s="30"/>
      <c r="D64" s="31"/>
      <c r="E64" s="32"/>
      <c r="F64" s="34"/>
      <c r="G64" s="35"/>
      <c r="H64" s="37" t="str">
        <f t="shared" si="1"/>
        <v/>
      </c>
    </row>
    <row r="65">
      <c r="A65" s="28"/>
      <c r="C65" s="30"/>
      <c r="D65" s="31"/>
      <c r="E65" s="32"/>
      <c r="F65" s="34"/>
      <c r="G65" s="35"/>
      <c r="H65" s="37" t="str">
        <f t="shared" si="1"/>
        <v/>
      </c>
    </row>
    <row r="66">
      <c r="A66" s="28"/>
      <c r="C66" s="30"/>
      <c r="D66" s="31"/>
      <c r="E66" s="32"/>
      <c r="F66" s="34"/>
      <c r="G66" s="35"/>
      <c r="H66" s="37" t="str">
        <f t="shared" si="1"/>
        <v/>
      </c>
    </row>
    <row r="67">
      <c r="A67" s="28"/>
      <c r="C67" s="30"/>
      <c r="D67" s="31"/>
      <c r="E67" s="32"/>
      <c r="F67" s="34"/>
      <c r="G67" s="35"/>
      <c r="H67" s="37" t="str">
        <f t="shared" si="1"/>
        <v/>
      </c>
    </row>
    <row r="68">
      <c r="A68" s="28"/>
      <c r="C68" s="30"/>
      <c r="D68" s="31"/>
      <c r="E68" s="32"/>
      <c r="F68" s="34"/>
      <c r="G68" s="35"/>
      <c r="H68" s="37" t="str">
        <f t="shared" si="1"/>
        <v/>
      </c>
    </row>
    <row r="69">
      <c r="A69" s="28"/>
      <c r="C69" s="30"/>
      <c r="D69" s="31"/>
      <c r="E69" s="32"/>
      <c r="F69" s="34"/>
      <c r="G69" s="35"/>
      <c r="H69" s="37" t="str">
        <f t="shared" si="1"/>
        <v/>
      </c>
    </row>
    <row r="70">
      <c r="A70" s="28"/>
      <c r="C70" s="30"/>
      <c r="D70" s="31"/>
      <c r="E70" s="32"/>
      <c r="F70" s="34"/>
      <c r="G70" s="35"/>
      <c r="H70" s="37" t="str">
        <f t="shared" si="1"/>
        <v/>
      </c>
    </row>
    <row r="71">
      <c r="A71" s="28"/>
      <c r="C71" s="30"/>
      <c r="D71" s="31"/>
      <c r="E71" s="32"/>
      <c r="F71" s="34"/>
      <c r="G71" s="35"/>
      <c r="H71" s="37" t="str">
        <f t="shared" si="1"/>
        <v/>
      </c>
    </row>
    <row r="72">
      <c r="A72" s="28"/>
      <c r="C72" s="30"/>
      <c r="D72" s="31"/>
      <c r="E72" s="32"/>
      <c r="F72" s="34"/>
      <c r="G72" s="35"/>
      <c r="H72" s="37" t="str">
        <f t="shared" si="1"/>
        <v/>
      </c>
    </row>
    <row r="73">
      <c r="A73" s="28"/>
      <c r="C73" s="30"/>
      <c r="D73" s="31"/>
      <c r="E73" s="32"/>
      <c r="F73" s="34"/>
      <c r="G73" s="35"/>
      <c r="H73" s="37" t="str">
        <f t="shared" si="1"/>
        <v/>
      </c>
    </row>
    <row r="74">
      <c r="A74" s="28"/>
      <c r="C74" s="30"/>
      <c r="D74" s="31"/>
      <c r="E74" s="32"/>
      <c r="F74" s="34"/>
      <c r="G74" s="35"/>
      <c r="H74" s="37" t="str">
        <f t="shared" si="1"/>
        <v/>
      </c>
    </row>
    <row r="75">
      <c r="A75" s="28"/>
      <c r="C75" s="30"/>
      <c r="D75" s="31"/>
      <c r="E75" s="32"/>
      <c r="F75" s="34"/>
      <c r="G75" s="35"/>
      <c r="H75" s="37" t="str">
        <f t="shared" si="1"/>
        <v/>
      </c>
    </row>
    <row r="76">
      <c r="A76" s="28"/>
      <c r="C76" s="30"/>
      <c r="D76" s="31"/>
      <c r="E76" s="32"/>
      <c r="F76" s="34"/>
      <c r="G76" s="35"/>
      <c r="H76" s="37" t="str">
        <f t="shared" si="1"/>
        <v/>
      </c>
    </row>
    <row r="77">
      <c r="A77" s="28"/>
      <c r="C77" s="30"/>
      <c r="D77" s="31"/>
      <c r="E77" s="32"/>
      <c r="F77" s="34"/>
      <c r="G77" s="35"/>
      <c r="H77" s="37" t="str">
        <f t="shared" si="1"/>
        <v/>
      </c>
    </row>
    <row r="78">
      <c r="A78" s="28"/>
      <c r="C78" s="30"/>
      <c r="D78" s="31"/>
      <c r="E78" s="32"/>
      <c r="F78" s="34"/>
      <c r="G78" s="35"/>
      <c r="H78" s="37" t="str">
        <f t="shared" si="1"/>
        <v/>
      </c>
    </row>
    <row r="79">
      <c r="A79" s="28"/>
      <c r="C79" s="30"/>
      <c r="D79" s="31"/>
      <c r="E79" s="32"/>
      <c r="F79" s="34"/>
      <c r="G79" s="35"/>
      <c r="H79" s="37" t="str">
        <f t="shared" si="1"/>
        <v/>
      </c>
    </row>
    <row r="80">
      <c r="A80" s="28"/>
      <c r="C80" s="30"/>
      <c r="D80" s="31"/>
      <c r="E80" s="32"/>
      <c r="F80" s="34"/>
      <c r="G80" s="35"/>
      <c r="H80" s="37" t="str">
        <f t="shared" si="1"/>
        <v/>
      </c>
    </row>
    <row r="81">
      <c r="A81" s="28"/>
      <c r="C81" s="30"/>
      <c r="D81" s="31"/>
      <c r="E81" s="32"/>
      <c r="F81" s="34"/>
      <c r="G81" s="35"/>
      <c r="H81" s="37" t="str">
        <f t="shared" si="1"/>
        <v/>
      </c>
    </row>
    <row r="82">
      <c r="A82" s="28"/>
      <c r="C82" s="30"/>
      <c r="D82" s="31"/>
      <c r="E82" s="32"/>
      <c r="F82" s="34"/>
      <c r="G82" s="35"/>
      <c r="H82" s="37" t="str">
        <f t="shared" si="1"/>
        <v/>
      </c>
    </row>
    <row r="83">
      <c r="A83" s="28"/>
      <c r="C83" s="30"/>
      <c r="D83" s="31"/>
      <c r="E83" s="32"/>
      <c r="F83" s="34"/>
      <c r="G83" s="35"/>
      <c r="H83" s="37" t="str">
        <f t="shared" si="1"/>
        <v/>
      </c>
    </row>
    <row r="84">
      <c r="A84" s="28"/>
      <c r="C84" s="30"/>
      <c r="D84" s="31"/>
      <c r="E84" s="32"/>
      <c r="F84" s="34"/>
      <c r="G84" s="35"/>
      <c r="H84" s="37" t="str">
        <f t="shared" si="1"/>
        <v/>
      </c>
    </row>
    <row r="85">
      <c r="A85" s="28"/>
      <c r="C85" s="30"/>
      <c r="D85" s="31"/>
      <c r="E85" s="32"/>
      <c r="F85" s="34"/>
      <c r="G85" s="35"/>
      <c r="H85" s="37" t="str">
        <f t="shared" si="1"/>
        <v/>
      </c>
    </row>
    <row r="86">
      <c r="A86" s="28"/>
      <c r="C86" s="30"/>
      <c r="D86" s="31"/>
      <c r="E86" s="32"/>
      <c r="F86" s="34"/>
      <c r="G86" s="35"/>
      <c r="H86" s="37" t="str">
        <f t="shared" si="1"/>
        <v/>
      </c>
    </row>
    <row r="87">
      <c r="A87" s="28"/>
      <c r="C87" s="30"/>
      <c r="D87" s="31"/>
      <c r="E87" s="32"/>
      <c r="F87" s="34"/>
      <c r="G87" s="35"/>
      <c r="H87" s="37" t="str">
        <f t="shared" si="1"/>
        <v/>
      </c>
    </row>
    <row r="88">
      <c r="A88" s="28"/>
      <c r="C88" s="30"/>
      <c r="D88" s="31"/>
      <c r="E88" s="32"/>
      <c r="F88" s="34"/>
      <c r="G88" s="35"/>
      <c r="H88" s="37" t="str">
        <f t="shared" si="1"/>
        <v/>
      </c>
    </row>
    <row r="89">
      <c r="A89" s="28"/>
      <c r="C89" s="30"/>
      <c r="D89" s="31"/>
      <c r="E89" s="32"/>
      <c r="F89" s="34"/>
      <c r="G89" s="35"/>
      <c r="H89" s="37" t="str">
        <f t="shared" si="1"/>
        <v/>
      </c>
    </row>
    <row r="90">
      <c r="A90" s="28"/>
      <c r="C90" s="30"/>
      <c r="D90" s="31"/>
      <c r="E90" s="32"/>
      <c r="F90" s="34"/>
      <c r="G90" s="35"/>
      <c r="H90" s="37" t="str">
        <f t="shared" si="1"/>
        <v/>
      </c>
    </row>
    <row r="91">
      <c r="A91" s="28"/>
      <c r="C91" s="30"/>
      <c r="D91" s="31"/>
      <c r="E91" s="32"/>
      <c r="F91" s="34"/>
      <c r="G91" s="35"/>
      <c r="H91" s="37" t="str">
        <f t="shared" si="1"/>
        <v/>
      </c>
    </row>
    <row r="92">
      <c r="A92" s="28"/>
      <c r="C92" s="30"/>
      <c r="D92" s="31"/>
      <c r="E92" s="32"/>
      <c r="F92" s="34"/>
      <c r="G92" s="35"/>
      <c r="H92" s="37" t="str">
        <f t="shared" si="1"/>
        <v/>
      </c>
    </row>
    <row r="93">
      <c r="A93" s="28"/>
      <c r="C93" s="30"/>
      <c r="D93" s="31"/>
      <c r="E93" s="32"/>
      <c r="F93" s="34"/>
      <c r="G93" s="35"/>
      <c r="H93" s="37" t="str">
        <f t="shared" si="1"/>
        <v/>
      </c>
    </row>
    <row r="94">
      <c r="A94" s="28"/>
      <c r="C94" s="30"/>
      <c r="D94" s="31"/>
      <c r="E94" s="32"/>
      <c r="F94" s="34"/>
      <c r="G94" s="35"/>
      <c r="H94" s="37" t="str">
        <f t="shared" si="1"/>
        <v/>
      </c>
    </row>
    <row r="95">
      <c r="A95" s="28"/>
      <c r="C95" s="30"/>
      <c r="D95" s="31"/>
      <c r="E95" s="32"/>
      <c r="F95" s="34"/>
      <c r="G95" s="35"/>
      <c r="H95" s="37" t="str">
        <f t="shared" si="1"/>
        <v/>
      </c>
    </row>
    <row r="96">
      <c r="A96" s="28"/>
      <c r="C96" s="30"/>
      <c r="D96" s="31"/>
      <c r="E96" s="32"/>
      <c r="F96" s="34"/>
      <c r="G96" s="35"/>
      <c r="H96" s="37" t="str">
        <f t="shared" si="1"/>
        <v/>
      </c>
    </row>
    <row r="97">
      <c r="A97" s="28"/>
      <c r="C97" s="30"/>
      <c r="D97" s="31"/>
      <c r="E97" s="32"/>
      <c r="F97" s="34"/>
      <c r="G97" s="35"/>
      <c r="H97" s="37" t="str">
        <f t="shared" si="1"/>
        <v/>
      </c>
    </row>
    <row r="98">
      <c r="A98" s="28"/>
      <c r="C98" s="30"/>
      <c r="D98" s="31"/>
      <c r="E98" s="32"/>
      <c r="F98" s="34"/>
      <c r="G98" s="35"/>
      <c r="H98" s="37" t="str">
        <f t="shared" si="1"/>
        <v/>
      </c>
    </row>
    <row r="99">
      <c r="A99" s="28"/>
      <c r="C99" s="30"/>
      <c r="D99" s="31"/>
      <c r="E99" s="32"/>
      <c r="F99" s="34"/>
      <c r="G99" s="35"/>
      <c r="H99" s="37" t="str">
        <f t="shared" si="1"/>
        <v/>
      </c>
    </row>
    <row r="100">
      <c r="A100" s="28"/>
      <c r="C100" s="30"/>
      <c r="D100" s="31"/>
      <c r="E100" s="32"/>
      <c r="F100" s="34"/>
      <c r="G100" s="35"/>
      <c r="H100" s="37" t="str">
        <f t="shared" si="1"/>
        <v/>
      </c>
    </row>
    <row r="101">
      <c r="A101" s="28"/>
      <c r="C101" s="30"/>
      <c r="D101" s="31"/>
      <c r="E101" s="32"/>
      <c r="F101" s="34"/>
      <c r="G101" s="35"/>
      <c r="H101" s="37" t="str">
        <f t="shared" si="1"/>
        <v/>
      </c>
    </row>
    <row r="102">
      <c r="A102" s="28"/>
      <c r="C102" s="30"/>
      <c r="D102" s="31"/>
      <c r="E102" s="32"/>
      <c r="F102" s="34"/>
      <c r="G102" s="35"/>
      <c r="H102" s="37" t="str">
        <f t="shared" si="1"/>
        <v/>
      </c>
    </row>
    <row r="103">
      <c r="A103" s="28"/>
      <c r="C103" s="30"/>
      <c r="D103" s="31"/>
      <c r="E103" s="32"/>
      <c r="F103" s="34"/>
      <c r="G103" s="35"/>
      <c r="H103" s="37" t="str">
        <f t="shared" si="1"/>
        <v/>
      </c>
    </row>
    <row r="104">
      <c r="A104" s="28"/>
      <c r="C104" s="30"/>
      <c r="D104" s="31"/>
      <c r="E104" s="32"/>
      <c r="F104" s="34"/>
      <c r="G104" s="35"/>
      <c r="H104" s="37" t="str">
        <f t="shared" si="1"/>
        <v/>
      </c>
    </row>
    <row r="105">
      <c r="A105" s="28"/>
      <c r="C105" s="30"/>
      <c r="D105" s="31"/>
      <c r="E105" s="32"/>
      <c r="F105" s="34"/>
      <c r="G105" s="35"/>
      <c r="H105" s="37" t="str">
        <f t="shared" si="1"/>
        <v/>
      </c>
    </row>
    <row r="106">
      <c r="A106" s="28"/>
      <c r="C106" s="30"/>
      <c r="D106" s="31"/>
      <c r="E106" s="32"/>
      <c r="F106" s="34"/>
      <c r="G106" s="35"/>
      <c r="H106" s="37" t="str">
        <f t="shared" si="1"/>
        <v/>
      </c>
    </row>
    <row r="107">
      <c r="A107" s="28"/>
      <c r="C107" s="30"/>
      <c r="D107" s="31"/>
      <c r="E107" s="32"/>
      <c r="F107" s="34"/>
      <c r="G107" s="35"/>
      <c r="H107" s="37" t="str">
        <f t="shared" si="1"/>
        <v/>
      </c>
    </row>
    <row r="108">
      <c r="A108" s="28"/>
      <c r="C108" s="30"/>
      <c r="D108" s="31"/>
      <c r="E108" s="32"/>
      <c r="F108" s="34"/>
      <c r="G108" s="35"/>
      <c r="H108" s="37" t="str">
        <f t="shared" si="1"/>
        <v/>
      </c>
    </row>
    <row r="109">
      <c r="A109" s="28"/>
      <c r="C109" s="30"/>
      <c r="D109" s="31"/>
      <c r="E109" s="32"/>
      <c r="F109" s="34"/>
      <c r="G109" s="35"/>
      <c r="H109" s="37" t="str">
        <f t="shared" si="1"/>
        <v/>
      </c>
    </row>
    <row r="110">
      <c r="A110" s="28"/>
      <c r="C110" s="30"/>
      <c r="D110" s="31"/>
      <c r="E110" s="32"/>
      <c r="F110" s="34"/>
      <c r="G110" s="35"/>
      <c r="H110" s="37" t="str">
        <f t="shared" si="1"/>
        <v/>
      </c>
    </row>
    <row r="111">
      <c r="A111" s="28"/>
      <c r="C111" s="30"/>
      <c r="D111" s="31"/>
      <c r="E111" s="32"/>
      <c r="F111" s="34"/>
      <c r="G111" s="35"/>
      <c r="H111" s="37" t="str">
        <f t="shared" si="1"/>
        <v/>
      </c>
    </row>
    <row r="112">
      <c r="A112" s="28"/>
      <c r="C112" s="30"/>
      <c r="D112" s="31"/>
      <c r="E112" s="32"/>
      <c r="F112" s="34"/>
      <c r="G112" s="35"/>
      <c r="H112" s="37" t="str">
        <f t="shared" si="1"/>
        <v/>
      </c>
    </row>
    <row r="113">
      <c r="A113" s="28"/>
      <c r="C113" s="30"/>
      <c r="D113" s="31"/>
      <c r="E113" s="32"/>
      <c r="F113" s="34"/>
      <c r="G113" s="35"/>
      <c r="H113" s="37" t="str">
        <f t="shared" si="1"/>
        <v/>
      </c>
    </row>
    <row r="114">
      <c r="A114" s="28"/>
      <c r="C114" s="30"/>
      <c r="D114" s="31"/>
      <c r="E114" s="32"/>
      <c r="F114" s="34"/>
      <c r="G114" s="35"/>
      <c r="H114" s="37" t="str">
        <f t="shared" si="1"/>
        <v/>
      </c>
    </row>
    <row r="115">
      <c r="A115" s="28"/>
      <c r="C115" s="30"/>
      <c r="D115" s="31"/>
      <c r="E115" s="32"/>
      <c r="F115" s="34"/>
      <c r="G115" s="35"/>
      <c r="H115" s="37" t="str">
        <f t="shared" si="1"/>
        <v/>
      </c>
    </row>
    <row r="116">
      <c r="A116" s="28"/>
      <c r="C116" s="30"/>
      <c r="D116" s="31"/>
      <c r="E116" s="32"/>
      <c r="F116" s="34"/>
      <c r="G116" s="35"/>
      <c r="H116" s="37" t="str">
        <f t="shared" si="1"/>
        <v/>
      </c>
    </row>
    <row r="117">
      <c r="A117" s="28"/>
      <c r="C117" s="30"/>
      <c r="D117" s="31"/>
      <c r="E117" s="32"/>
      <c r="F117" s="34"/>
      <c r="G117" s="35"/>
      <c r="H117" s="37" t="str">
        <f t="shared" si="1"/>
        <v/>
      </c>
    </row>
    <row r="118">
      <c r="A118" s="28"/>
      <c r="C118" s="30"/>
      <c r="D118" s="31"/>
      <c r="E118" s="32"/>
      <c r="F118" s="34"/>
      <c r="G118" s="35"/>
      <c r="H118" s="37" t="str">
        <f t="shared" si="1"/>
        <v/>
      </c>
    </row>
    <row r="119">
      <c r="A119" s="28"/>
      <c r="C119" s="30"/>
      <c r="D119" s="31"/>
      <c r="E119" s="32"/>
      <c r="F119" s="34"/>
      <c r="G119" s="35"/>
      <c r="H119" s="37" t="str">
        <f t="shared" si="1"/>
        <v/>
      </c>
    </row>
    <row r="120">
      <c r="A120" s="28"/>
      <c r="C120" s="30"/>
      <c r="D120" s="31"/>
      <c r="E120" s="32"/>
      <c r="F120" s="34"/>
      <c r="G120" s="35"/>
      <c r="H120" s="37" t="str">
        <f t="shared" si="1"/>
        <v/>
      </c>
    </row>
    <row r="121">
      <c r="A121" s="28"/>
      <c r="C121" s="30"/>
      <c r="D121" s="31"/>
      <c r="E121" s="32"/>
      <c r="F121" s="34"/>
      <c r="G121" s="35"/>
      <c r="H121" s="37" t="str">
        <f t="shared" si="1"/>
        <v/>
      </c>
    </row>
    <row r="122">
      <c r="A122" s="28"/>
      <c r="C122" s="30"/>
      <c r="D122" s="31"/>
      <c r="E122" s="32"/>
      <c r="F122" s="34"/>
      <c r="G122" s="35"/>
      <c r="H122" s="37" t="str">
        <f t="shared" si="1"/>
        <v/>
      </c>
    </row>
    <row r="123">
      <c r="A123" s="28"/>
      <c r="C123" s="30"/>
      <c r="D123" s="31"/>
      <c r="E123" s="32"/>
      <c r="F123" s="34"/>
      <c r="G123" s="35"/>
      <c r="H123" s="37" t="str">
        <f t="shared" si="1"/>
        <v/>
      </c>
    </row>
    <row r="124">
      <c r="A124" s="28"/>
      <c r="C124" s="30"/>
      <c r="D124" s="31"/>
      <c r="E124" s="32"/>
      <c r="F124" s="34"/>
      <c r="G124" s="35"/>
      <c r="H124" s="37" t="str">
        <f t="shared" si="1"/>
        <v/>
      </c>
    </row>
    <row r="125">
      <c r="A125" s="28"/>
      <c r="C125" s="30"/>
      <c r="D125" s="31"/>
      <c r="E125" s="32"/>
      <c r="F125" s="34"/>
      <c r="G125" s="35"/>
      <c r="H125" s="37" t="str">
        <f t="shared" si="1"/>
        <v/>
      </c>
    </row>
    <row r="126">
      <c r="A126" s="28"/>
      <c r="C126" s="30"/>
      <c r="D126" s="31"/>
      <c r="E126" s="32"/>
      <c r="F126" s="34"/>
      <c r="G126" s="35"/>
      <c r="H126" s="37" t="str">
        <f t="shared" si="1"/>
        <v/>
      </c>
    </row>
    <row r="127">
      <c r="A127" s="28"/>
      <c r="C127" s="30"/>
      <c r="D127" s="31"/>
      <c r="E127" s="32"/>
      <c r="F127" s="34"/>
      <c r="G127" s="35"/>
      <c r="H127" s="37" t="str">
        <f t="shared" si="1"/>
        <v/>
      </c>
    </row>
    <row r="128">
      <c r="A128" s="28"/>
      <c r="C128" s="30"/>
      <c r="D128" s="31"/>
      <c r="E128" s="32"/>
      <c r="F128" s="34"/>
      <c r="G128" s="35"/>
      <c r="H128" s="37" t="str">
        <f t="shared" si="1"/>
        <v/>
      </c>
    </row>
    <row r="129">
      <c r="A129" s="28"/>
      <c r="C129" s="30"/>
      <c r="D129" s="31"/>
      <c r="E129" s="32"/>
      <c r="F129" s="34"/>
      <c r="G129" s="35"/>
      <c r="H129" s="37" t="str">
        <f t="shared" si="1"/>
        <v/>
      </c>
    </row>
    <row r="130">
      <c r="A130" s="28"/>
      <c r="C130" s="30"/>
      <c r="D130" s="31"/>
      <c r="E130" s="32"/>
      <c r="F130" s="34"/>
      <c r="G130" s="35"/>
      <c r="H130" s="37" t="str">
        <f t="shared" si="1"/>
        <v/>
      </c>
    </row>
    <row r="131">
      <c r="A131" s="28"/>
      <c r="C131" s="30"/>
      <c r="D131" s="31"/>
      <c r="E131" s="32"/>
      <c r="F131" s="34"/>
      <c r="G131" s="35"/>
      <c r="H131" s="37" t="str">
        <f t="shared" si="1"/>
        <v/>
      </c>
    </row>
    <row r="132">
      <c r="A132" s="28"/>
      <c r="C132" s="30"/>
      <c r="D132" s="31"/>
      <c r="E132" s="32"/>
      <c r="F132" s="34"/>
      <c r="G132" s="35"/>
      <c r="H132" s="37" t="str">
        <f t="shared" si="1"/>
        <v/>
      </c>
    </row>
    <row r="133">
      <c r="A133" s="28"/>
      <c r="C133" s="30"/>
      <c r="D133" s="31"/>
      <c r="E133" s="32"/>
      <c r="F133" s="34"/>
      <c r="G133" s="35"/>
      <c r="H133" s="37" t="str">
        <f t="shared" si="1"/>
        <v/>
      </c>
    </row>
    <row r="134">
      <c r="A134" s="28"/>
      <c r="C134" s="30"/>
      <c r="D134" s="31"/>
      <c r="E134" s="32"/>
      <c r="F134" s="34"/>
      <c r="G134" s="35"/>
      <c r="H134" s="37" t="str">
        <f t="shared" si="1"/>
        <v/>
      </c>
    </row>
    <row r="135">
      <c r="A135" s="28"/>
      <c r="C135" s="30"/>
      <c r="D135" s="31"/>
      <c r="E135" s="32"/>
      <c r="F135" s="34"/>
      <c r="G135" s="35"/>
      <c r="H135" s="37" t="str">
        <f t="shared" si="1"/>
        <v/>
      </c>
    </row>
    <row r="136">
      <c r="A136" s="28"/>
      <c r="C136" s="30"/>
      <c r="D136" s="31"/>
      <c r="E136" s="32"/>
      <c r="F136" s="34"/>
      <c r="G136" s="35"/>
      <c r="H136" s="37" t="str">
        <f t="shared" si="1"/>
        <v/>
      </c>
    </row>
    <row r="137">
      <c r="A137" s="28"/>
      <c r="C137" s="30"/>
      <c r="D137" s="31"/>
      <c r="E137" s="32"/>
      <c r="F137" s="34"/>
      <c r="G137" s="35"/>
      <c r="H137" s="37" t="str">
        <f t="shared" si="1"/>
        <v/>
      </c>
    </row>
    <row r="138">
      <c r="A138" s="28"/>
      <c r="C138" s="30"/>
      <c r="D138" s="31"/>
      <c r="E138" s="32"/>
      <c r="F138" s="34"/>
      <c r="G138" s="35"/>
      <c r="H138" s="37" t="str">
        <f t="shared" si="1"/>
        <v/>
      </c>
    </row>
    <row r="139">
      <c r="A139" s="28"/>
      <c r="C139" s="30"/>
      <c r="D139" s="31"/>
      <c r="E139" s="32"/>
      <c r="F139" s="34"/>
      <c r="G139" s="35"/>
      <c r="H139" s="37" t="str">
        <f t="shared" si="1"/>
        <v/>
      </c>
    </row>
    <row r="140">
      <c r="A140" s="28"/>
      <c r="C140" s="30"/>
      <c r="D140" s="31"/>
      <c r="E140" s="32"/>
      <c r="F140" s="34"/>
      <c r="G140" s="35"/>
      <c r="H140" s="37" t="str">
        <f t="shared" si="1"/>
        <v/>
      </c>
    </row>
    <row r="141">
      <c r="A141" s="28"/>
      <c r="C141" s="30"/>
      <c r="D141" s="31"/>
      <c r="E141" s="32"/>
      <c r="F141" s="34"/>
      <c r="G141" s="35"/>
      <c r="H141" s="37" t="str">
        <f t="shared" si="1"/>
        <v/>
      </c>
    </row>
    <row r="142">
      <c r="A142" s="28"/>
      <c r="C142" s="30"/>
      <c r="D142" s="31"/>
      <c r="E142" s="32"/>
      <c r="F142" s="34"/>
      <c r="G142" s="35"/>
      <c r="H142" s="37" t="str">
        <f t="shared" si="1"/>
        <v/>
      </c>
    </row>
    <row r="143">
      <c r="A143" s="28"/>
      <c r="C143" s="30"/>
      <c r="D143" s="31"/>
      <c r="E143" s="32"/>
      <c r="F143" s="34"/>
      <c r="G143" s="35"/>
      <c r="H143" s="37" t="str">
        <f t="shared" si="1"/>
        <v/>
      </c>
    </row>
    <row r="144">
      <c r="A144" s="28"/>
      <c r="C144" s="30"/>
      <c r="D144" s="31"/>
      <c r="E144" s="32"/>
      <c r="F144" s="34"/>
      <c r="G144" s="35"/>
      <c r="H144" s="37" t="str">
        <f t="shared" si="1"/>
        <v/>
      </c>
    </row>
    <row r="145">
      <c r="A145" s="28"/>
      <c r="C145" s="30"/>
      <c r="D145" s="31"/>
      <c r="E145" s="32"/>
      <c r="F145" s="34"/>
      <c r="G145" s="35"/>
      <c r="H145" s="37" t="str">
        <f t="shared" si="1"/>
        <v/>
      </c>
    </row>
    <row r="146">
      <c r="A146" s="28"/>
      <c r="C146" s="30"/>
      <c r="D146" s="31"/>
      <c r="E146" s="32"/>
      <c r="F146" s="34"/>
      <c r="G146" s="35"/>
      <c r="H146" s="37" t="str">
        <f t="shared" si="1"/>
        <v/>
      </c>
    </row>
    <row r="147">
      <c r="A147" s="28"/>
      <c r="C147" s="30"/>
      <c r="D147" s="31"/>
      <c r="E147" s="32"/>
      <c r="F147" s="34"/>
      <c r="G147" s="35"/>
      <c r="H147" s="37" t="str">
        <f t="shared" si="1"/>
        <v/>
      </c>
    </row>
    <row r="148">
      <c r="A148" s="28"/>
      <c r="C148" s="30"/>
      <c r="D148" s="31"/>
      <c r="E148" s="32"/>
      <c r="F148" s="34"/>
      <c r="G148" s="35"/>
      <c r="H148" s="37" t="str">
        <f t="shared" si="1"/>
        <v/>
      </c>
    </row>
    <row r="149">
      <c r="A149" s="28"/>
      <c r="C149" s="30"/>
      <c r="D149" s="31"/>
      <c r="E149" s="32"/>
      <c r="F149" s="34"/>
      <c r="G149" s="35"/>
      <c r="H149" s="37" t="str">
        <f t="shared" si="1"/>
        <v/>
      </c>
    </row>
    <row r="150">
      <c r="A150" s="28"/>
      <c r="C150" s="30"/>
      <c r="D150" s="31"/>
      <c r="E150" s="32"/>
      <c r="F150" s="34"/>
      <c r="G150" s="35"/>
      <c r="H150" s="37" t="str">
        <f t="shared" si="1"/>
        <v/>
      </c>
    </row>
    <row r="151">
      <c r="A151" s="28"/>
      <c r="C151" s="30"/>
      <c r="D151" s="31"/>
      <c r="E151" s="32"/>
      <c r="F151" s="34"/>
      <c r="G151" s="35"/>
      <c r="H151" s="37" t="str">
        <f t="shared" si="1"/>
        <v/>
      </c>
    </row>
    <row r="152">
      <c r="A152" s="28"/>
      <c r="C152" s="30"/>
      <c r="D152" s="31"/>
      <c r="E152" s="32"/>
      <c r="F152" s="34"/>
      <c r="G152" s="35"/>
      <c r="H152" s="37" t="str">
        <f t="shared" si="1"/>
        <v/>
      </c>
    </row>
    <row r="153">
      <c r="A153" s="28"/>
      <c r="C153" s="30"/>
      <c r="D153" s="31"/>
      <c r="E153" s="32"/>
      <c r="F153" s="34"/>
      <c r="G153" s="35"/>
      <c r="H153" s="37" t="str">
        <f t="shared" si="1"/>
        <v/>
      </c>
    </row>
    <row r="154">
      <c r="A154" s="28"/>
      <c r="C154" s="30"/>
      <c r="D154" s="31"/>
      <c r="E154" s="32"/>
      <c r="F154" s="34"/>
      <c r="G154" s="35"/>
      <c r="H154" s="37" t="str">
        <f t="shared" si="1"/>
        <v/>
      </c>
    </row>
    <row r="155">
      <c r="A155" s="28"/>
      <c r="C155" s="30"/>
      <c r="D155" s="31"/>
      <c r="E155" s="32"/>
      <c r="F155" s="34"/>
      <c r="G155" s="35"/>
      <c r="H155" s="37" t="str">
        <f t="shared" si="1"/>
        <v/>
      </c>
    </row>
    <row r="156">
      <c r="A156" s="28"/>
      <c r="C156" s="30"/>
      <c r="D156" s="31"/>
      <c r="E156" s="32"/>
      <c r="F156" s="34"/>
      <c r="G156" s="35"/>
      <c r="H156" s="37" t="str">
        <f t="shared" si="1"/>
        <v/>
      </c>
    </row>
    <row r="157">
      <c r="A157" s="28"/>
      <c r="C157" s="30"/>
      <c r="D157" s="31"/>
      <c r="E157" s="32"/>
      <c r="F157" s="34"/>
      <c r="G157" s="35"/>
      <c r="H157" s="37" t="str">
        <f t="shared" si="1"/>
        <v/>
      </c>
    </row>
    <row r="158">
      <c r="A158" s="28"/>
      <c r="C158" s="30"/>
      <c r="D158" s="31"/>
      <c r="E158" s="32"/>
      <c r="F158" s="34"/>
      <c r="G158" s="35"/>
      <c r="H158" s="37" t="str">
        <f t="shared" si="1"/>
        <v/>
      </c>
    </row>
    <row r="159">
      <c r="A159" s="28"/>
      <c r="C159" s="30"/>
      <c r="D159" s="31"/>
      <c r="E159" s="32"/>
      <c r="F159" s="34"/>
      <c r="G159" s="35"/>
      <c r="H159" s="37" t="str">
        <f t="shared" si="1"/>
        <v/>
      </c>
    </row>
    <row r="160">
      <c r="A160" s="28"/>
      <c r="C160" s="30"/>
      <c r="D160" s="31"/>
      <c r="E160" s="32"/>
      <c r="F160" s="34"/>
      <c r="G160" s="35"/>
      <c r="H160" s="37" t="str">
        <f t="shared" si="1"/>
        <v/>
      </c>
    </row>
    <row r="161">
      <c r="A161" s="28"/>
      <c r="C161" s="30"/>
      <c r="D161" s="31"/>
      <c r="E161" s="32"/>
      <c r="F161" s="34"/>
      <c r="G161" s="35"/>
      <c r="H161" s="37" t="str">
        <f t="shared" si="1"/>
        <v/>
      </c>
    </row>
    <row r="162">
      <c r="A162" s="28"/>
      <c r="C162" s="30"/>
      <c r="D162" s="31"/>
      <c r="E162" s="32"/>
      <c r="F162" s="34"/>
      <c r="G162" s="35"/>
      <c r="H162" s="37" t="str">
        <f t="shared" si="1"/>
        <v/>
      </c>
    </row>
    <row r="163">
      <c r="A163" s="28"/>
      <c r="C163" s="30"/>
      <c r="D163" s="31"/>
      <c r="E163" s="32"/>
      <c r="F163" s="34"/>
      <c r="G163" s="35"/>
      <c r="H163" s="37" t="str">
        <f t="shared" si="1"/>
        <v/>
      </c>
    </row>
    <row r="164">
      <c r="A164" s="28"/>
      <c r="C164" s="30"/>
      <c r="D164" s="31"/>
      <c r="E164" s="32"/>
      <c r="F164" s="34"/>
      <c r="G164" s="35"/>
      <c r="H164" s="37" t="str">
        <f t="shared" si="1"/>
        <v/>
      </c>
    </row>
    <row r="165">
      <c r="A165" s="28"/>
      <c r="C165" s="30"/>
      <c r="D165" s="31"/>
      <c r="E165" s="32"/>
      <c r="F165" s="34"/>
      <c r="G165" s="35"/>
      <c r="H165" s="37" t="str">
        <f t="shared" si="1"/>
        <v/>
      </c>
    </row>
    <row r="166">
      <c r="A166" s="28"/>
      <c r="C166" s="30"/>
      <c r="D166" s="31"/>
      <c r="E166" s="32"/>
      <c r="F166" s="34"/>
      <c r="G166" s="35"/>
      <c r="H166" s="37" t="str">
        <f t="shared" si="1"/>
        <v/>
      </c>
    </row>
    <row r="167">
      <c r="A167" s="28"/>
      <c r="C167" s="30"/>
      <c r="D167" s="31"/>
      <c r="E167" s="32"/>
      <c r="F167" s="34"/>
      <c r="G167" s="35"/>
      <c r="H167" s="37" t="str">
        <f t="shared" si="1"/>
        <v/>
      </c>
    </row>
    <row r="168">
      <c r="A168" s="28"/>
      <c r="C168" s="30"/>
      <c r="D168" s="31"/>
      <c r="E168" s="32"/>
      <c r="F168" s="34"/>
      <c r="G168" s="35"/>
      <c r="H168" s="37" t="str">
        <f t="shared" si="1"/>
        <v/>
      </c>
    </row>
    <row r="169">
      <c r="A169" s="28"/>
      <c r="C169" s="30"/>
      <c r="D169" s="31"/>
      <c r="E169" s="32"/>
      <c r="F169" s="34"/>
      <c r="G169" s="35"/>
      <c r="H169" s="37" t="str">
        <f t="shared" si="1"/>
        <v/>
      </c>
    </row>
    <row r="170">
      <c r="A170" s="28"/>
      <c r="C170" s="30"/>
      <c r="D170" s="31"/>
      <c r="E170" s="32"/>
      <c r="F170" s="34"/>
      <c r="G170" s="35"/>
      <c r="H170" s="37" t="str">
        <f t="shared" si="1"/>
        <v/>
      </c>
    </row>
    <row r="171">
      <c r="A171" s="28"/>
      <c r="C171" s="30"/>
      <c r="D171" s="31"/>
      <c r="E171" s="32"/>
      <c r="F171" s="34"/>
      <c r="G171" s="35"/>
      <c r="H171" s="37" t="str">
        <f t="shared" si="1"/>
        <v/>
      </c>
    </row>
    <row r="172">
      <c r="A172" s="28"/>
      <c r="C172" s="30"/>
      <c r="D172" s="31"/>
      <c r="E172" s="32"/>
      <c r="F172" s="34"/>
      <c r="G172" s="35"/>
      <c r="H172" s="37" t="str">
        <f t="shared" si="1"/>
        <v/>
      </c>
    </row>
    <row r="173">
      <c r="A173" s="28"/>
      <c r="C173" s="30"/>
      <c r="D173" s="31"/>
      <c r="E173" s="32"/>
      <c r="F173" s="34"/>
      <c r="G173" s="35"/>
      <c r="H173" s="37" t="str">
        <f t="shared" si="1"/>
        <v/>
      </c>
    </row>
    <row r="174">
      <c r="A174" s="28"/>
      <c r="C174" s="30"/>
      <c r="D174" s="31"/>
      <c r="E174" s="32"/>
      <c r="F174" s="34"/>
      <c r="G174" s="35"/>
      <c r="H174" s="37" t="str">
        <f t="shared" si="1"/>
        <v/>
      </c>
    </row>
    <row r="175">
      <c r="A175" s="28"/>
      <c r="C175" s="30"/>
      <c r="D175" s="31"/>
      <c r="E175" s="32"/>
      <c r="F175" s="34"/>
      <c r="G175" s="35"/>
      <c r="H175" s="37" t="str">
        <f t="shared" si="1"/>
        <v/>
      </c>
    </row>
    <row r="176">
      <c r="A176" s="28"/>
      <c r="C176" s="30"/>
      <c r="D176" s="31"/>
      <c r="E176" s="32"/>
      <c r="F176" s="34"/>
      <c r="G176" s="35"/>
      <c r="H176" s="37" t="str">
        <f t="shared" si="1"/>
        <v/>
      </c>
    </row>
    <row r="177">
      <c r="A177" s="28"/>
      <c r="C177" s="30"/>
      <c r="D177" s="31"/>
      <c r="E177" s="32"/>
      <c r="F177" s="34"/>
      <c r="G177" s="35"/>
      <c r="H177" s="37" t="str">
        <f t="shared" si="1"/>
        <v/>
      </c>
    </row>
    <row r="178">
      <c r="A178" s="28"/>
      <c r="C178" s="30"/>
      <c r="D178" s="31"/>
      <c r="E178" s="32"/>
      <c r="F178" s="34"/>
      <c r="G178" s="35"/>
      <c r="H178" s="37" t="str">
        <f t="shared" si="1"/>
        <v/>
      </c>
    </row>
    <row r="179">
      <c r="A179" s="28"/>
      <c r="C179" s="30"/>
      <c r="D179" s="31"/>
      <c r="E179" s="32"/>
      <c r="F179" s="34"/>
      <c r="G179" s="35"/>
      <c r="H179" s="37" t="str">
        <f t="shared" si="1"/>
        <v/>
      </c>
    </row>
    <row r="180">
      <c r="A180" s="28"/>
      <c r="C180" s="30"/>
      <c r="D180" s="31"/>
      <c r="E180" s="32"/>
      <c r="F180" s="34"/>
      <c r="G180" s="35"/>
      <c r="H180" s="37" t="str">
        <f t="shared" si="1"/>
        <v/>
      </c>
    </row>
    <row r="181">
      <c r="A181" s="28"/>
      <c r="C181" s="30"/>
      <c r="D181" s="31"/>
      <c r="E181" s="32"/>
      <c r="F181" s="34"/>
      <c r="G181" s="35"/>
      <c r="H181" s="37" t="str">
        <f t="shared" si="1"/>
        <v/>
      </c>
    </row>
    <row r="182">
      <c r="A182" s="28"/>
      <c r="C182" s="30"/>
      <c r="D182" s="31"/>
      <c r="E182" s="32"/>
      <c r="F182" s="34"/>
      <c r="G182" s="35"/>
      <c r="H182" s="37" t="str">
        <f t="shared" si="1"/>
        <v/>
      </c>
    </row>
    <row r="183">
      <c r="A183" s="28"/>
      <c r="C183" s="30"/>
      <c r="D183" s="31"/>
      <c r="E183" s="32"/>
      <c r="F183" s="34"/>
      <c r="G183" s="35"/>
      <c r="H183" s="37" t="str">
        <f t="shared" si="1"/>
        <v/>
      </c>
    </row>
    <row r="184">
      <c r="A184" s="28"/>
      <c r="C184" s="30"/>
      <c r="D184" s="31"/>
      <c r="E184" s="32"/>
      <c r="F184" s="34"/>
      <c r="G184" s="35"/>
      <c r="H184" s="37" t="str">
        <f t="shared" si="1"/>
        <v/>
      </c>
    </row>
    <row r="185">
      <c r="A185" s="28"/>
      <c r="C185" s="30"/>
      <c r="D185" s="31"/>
      <c r="E185" s="32"/>
      <c r="F185" s="34"/>
      <c r="G185" s="35"/>
      <c r="H185" s="37" t="str">
        <f t="shared" si="1"/>
        <v/>
      </c>
    </row>
    <row r="186">
      <c r="A186" s="28"/>
      <c r="C186" s="30"/>
      <c r="D186" s="31"/>
      <c r="E186" s="32"/>
      <c r="F186" s="34"/>
      <c r="G186" s="35"/>
      <c r="H186" s="37" t="str">
        <f t="shared" si="1"/>
        <v/>
      </c>
    </row>
    <row r="187">
      <c r="A187" s="28"/>
      <c r="C187" s="30"/>
      <c r="D187" s="31"/>
      <c r="E187" s="32"/>
      <c r="F187" s="34"/>
      <c r="G187" s="35"/>
      <c r="H187" s="37" t="str">
        <f t="shared" si="1"/>
        <v/>
      </c>
    </row>
    <row r="188">
      <c r="A188" s="28"/>
      <c r="C188" s="30"/>
      <c r="D188" s="31"/>
      <c r="E188" s="32"/>
      <c r="F188" s="34"/>
      <c r="G188" s="35"/>
      <c r="H188" s="37" t="str">
        <f t="shared" si="1"/>
        <v/>
      </c>
    </row>
    <row r="189">
      <c r="A189" s="28"/>
      <c r="C189" s="30"/>
      <c r="D189" s="31"/>
      <c r="E189" s="32"/>
      <c r="F189" s="34"/>
      <c r="G189" s="35"/>
      <c r="H189" s="37" t="str">
        <f t="shared" si="1"/>
        <v/>
      </c>
    </row>
    <row r="190">
      <c r="A190" s="28"/>
      <c r="C190" s="30"/>
      <c r="D190" s="31"/>
      <c r="E190" s="32"/>
      <c r="F190" s="34"/>
      <c r="G190" s="35"/>
      <c r="H190" s="37" t="str">
        <f t="shared" si="1"/>
        <v/>
      </c>
    </row>
    <row r="191">
      <c r="A191" s="28"/>
      <c r="C191" s="30"/>
      <c r="D191" s="31"/>
      <c r="E191" s="32"/>
      <c r="F191" s="34"/>
      <c r="G191" s="35"/>
      <c r="H191" s="37" t="str">
        <f t="shared" si="1"/>
        <v/>
      </c>
    </row>
    <row r="192">
      <c r="A192" s="28"/>
      <c r="C192" s="30"/>
      <c r="D192" s="31"/>
      <c r="E192" s="32"/>
      <c r="F192" s="34"/>
      <c r="G192" s="35"/>
      <c r="H192" s="37" t="str">
        <f t="shared" si="1"/>
        <v/>
      </c>
    </row>
    <row r="193">
      <c r="A193" s="28"/>
      <c r="C193" s="30"/>
      <c r="D193" s="31"/>
      <c r="E193" s="32"/>
      <c r="F193" s="34"/>
      <c r="G193" s="35"/>
      <c r="H193" s="37" t="str">
        <f t="shared" si="1"/>
        <v/>
      </c>
    </row>
    <row r="194">
      <c r="A194" s="28"/>
      <c r="C194" s="30"/>
      <c r="D194" s="31"/>
      <c r="E194" s="32"/>
      <c r="F194" s="34"/>
      <c r="G194" s="35"/>
      <c r="H194" s="37" t="str">
        <f t="shared" si="1"/>
        <v/>
      </c>
    </row>
    <row r="195">
      <c r="A195" s="28"/>
      <c r="C195" s="30"/>
      <c r="D195" s="31"/>
      <c r="E195" s="32"/>
      <c r="F195" s="34"/>
      <c r="G195" s="35"/>
      <c r="H195" s="37" t="str">
        <f t="shared" si="1"/>
        <v/>
      </c>
    </row>
    <row r="196">
      <c r="A196" s="28"/>
      <c r="C196" s="30"/>
      <c r="D196" s="31"/>
      <c r="E196" s="32"/>
      <c r="F196" s="34"/>
      <c r="G196" s="35"/>
      <c r="H196" s="37" t="str">
        <f t="shared" si="1"/>
        <v/>
      </c>
    </row>
    <row r="197">
      <c r="A197" s="28"/>
      <c r="C197" s="30"/>
      <c r="D197" s="31"/>
      <c r="E197" s="32"/>
      <c r="F197" s="34"/>
      <c r="G197" s="35"/>
      <c r="H197" s="37" t="str">
        <f t="shared" si="1"/>
        <v/>
      </c>
    </row>
    <row r="198">
      <c r="A198" s="28"/>
      <c r="C198" s="30"/>
      <c r="D198" s="31"/>
      <c r="E198" s="32"/>
      <c r="F198" s="34"/>
      <c r="G198" s="35"/>
      <c r="H198" s="37" t="str">
        <f t="shared" si="1"/>
        <v/>
      </c>
    </row>
    <row r="199">
      <c r="A199" s="28"/>
      <c r="C199" s="30"/>
      <c r="D199" s="31"/>
      <c r="E199" s="32"/>
      <c r="F199" s="34"/>
      <c r="G199" s="35"/>
      <c r="H199" s="37" t="str">
        <f t="shared" si="1"/>
        <v/>
      </c>
    </row>
    <row r="200">
      <c r="A200" s="28"/>
      <c r="C200" s="30"/>
      <c r="D200" s="31"/>
      <c r="E200" s="32"/>
      <c r="F200" s="34"/>
      <c r="G200" s="35"/>
      <c r="H200" s="37" t="str">
        <f t="shared" si="1"/>
        <v/>
      </c>
    </row>
    <row r="201">
      <c r="A201" s="28"/>
      <c r="C201" s="30"/>
      <c r="D201" s="31"/>
      <c r="E201" s="32"/>
      <c r="F201" s="34"/>
      <c r="G201" s="35"/>
      <c r="H201" s="37" t="str">
        <f t="shared" si="1"/>
        <v/>
      </c>
    </row>
    <row r="202">
      <c r="A202" s="28"/>
      <c r="C202" s="30"/>
      <c r="D202" s="31"/>
      <c r="E202" s="32"/>
      <c r="F202" s="34"/>
      <c r="G202" s="35"/>
      <c r="H202" s="37" t="str">
        <f t="shared" si="1"/>
        <v/>
      </c>
    </row>
    <row r="203">
      <c r="A203" s="28"/>
      <c r="C203" s="30"/>
      <c r="D203" s="31"/>
      <c r="E203" s="32"/>
      <c r="F203" s="34"/>
      <c r="G203" s="35"/>
      <c r="H203" s="37" t="str">
        <f t="shared" si="1"/>
        <v/>
      </c>
    </row>
    <row r="204">
      <c r="A204" s="28"/>
      <c r="C204" s="30"/>
      <c r="D204" s="31"/>
      <c r="E204" s="32"/>
      <c r="F204" s="34"/>
      <c r="G204" s="35"/>
      <c r="H204" s="37" t="str">
        <f t="shared" si="1"/>
        <v/>
      </c>
    </row>
    <row r="205">
      <c r="A205" s="28"/>
      <c r="C205" s="30"/>
      <c r="D205" s="31"/>
      <c r="E205" s="32"/>
      <c r="F205" s="34"/>
      <c r="G205" s="35"/>
      <c r="H205" s="37" t="str">
        <f t="shared" si="1"/>
        <v/>
      </c>
    </row>
    <row r="206">
      <c r="A206" s="28"/>
      <c r="C206" s="30"/>
      <c r="D206" s="31"/>
      <c r="E206" s="32"/>
      <c r="F206" s="34"/>
      <c r="G206" s="35"/>
      <c r="H206" s="37" t="str">
        <f t="shared" si="1"/>
        <v/>
      </c>
    </row>
    <row r="207">
      <c r="A207" s="28"/>
      <c r="C207" s="30"/>
      <c r="D207" s="31"/>
      <c r="E207" s="32"/>
      <c r="F207" s="34"/>
      <c r="G207" s="35"/>
      <c r="H207" s="37" t="str">
        <f t="shared" si="1"/>
        <v/>
      </c>
    </row>
    <row r="208">
      <c r="A208" s="28"/>
      <c r="C208" s="30"/>
      <c r="D208" s="31"/>
      <c r="E208" s="32"/>
      <c r="F208" s="34"/>
      <c r="G208" s="35"/>
      <c r="H208" s="37" t="str">
        <f t="shared" si="1"/>
        <v/>
      </c>
    </row>
    <row r="209">
      <c r="A209" s="28"/>
      <c r="C209" s="30"/>
      <c r="D209" s="31"/>
      <c r="E209" s="32"/>
      <c r="F209" s="34"/>
      <c r="G209" s="35"/>
      <c r="H209" s="37" t="str">
        <f t="shared" si="1"/>
        <v/>
      </c>
    </row>
    <row r="210">
      <c r="A210" s="28"/>
      <c r="C210" s="30"/>
      <c r="D210" s="31"/>
      <c r="E210" s="32"/>
      <c r="F210" s="34"/>
      <c r="G210" s="35"/>
      <c r="H210" s="37" t="str">
        <f t="shared" si="1"/>
        <v/>
      </c>
    </row>
    <row r="211">
      <c r="A211" s="28"/>
      <c r="C211" s="30"/>
      <c r="D211" s="31"/>
      <c r="E211" s="32"/>
      <c r="F211" s="34"/>
      <c r="G211" s="35"/>
      <c r="H211" s="37" t="str">
        <f t="shared" si="1"/>
        <v/>
      </c>
    </row>
    <row r="212">
      <c r="A212" s="28"/>
      <c r="C212" s="30"/>
      <c r="D212" s="31"/>
      <c r="E212" s="32"/>
      <c r="F212" s="34"/>
      <c r="G212" s="35"/>
      <c r="H212" s="37" t="str">
        <f t="shared" si="1"/>
        <v/>
      </c>
    </row>
    <row r="213">
      <c r="A213" s="28"/>
      <c r="C213" s="30"/>
      <c r="D213" s="31"/>
      <c r="E213" s="32"/>
      <c r="F213" s="34"/>
      <c r="G213" s="35"/>
      <c r="H213" s="37" t="str">
        <f t="shared" si="1"/>
        <v/>
      </c>
    </row>
    <row r="214">
      <c r="A214" s="28"/>
      <c r="C214" s="30"/>
      <c r="D214" s="31"/>
      <c r="E214" s="32"/>
      <c r="F214" s="34"/>
      <c r="G214" s="35"/>
      <c r="H214" s="37" t="str">
        <f t="shared" si="1"/>
        <v/>
      </c>
    </row>
    <row r="215">
      <c r="A215" s="28"/>
      <c r="C215" s="30"/>
      <c r="D215" s="31"/>
      <c r="E215" s="32"/>
      <c r="F215" s="34"/>
      <c r="G215" s="35"/>
      <c r="H215" s="37" t="str">
        <f t="shared" si="1"/>
        <v/>
      </c>
    </row>
    <row r="216">
      <c r="A216" s="28"/>
      <c r="C216" s="30"/>
      <c r="D216" s="31"/>
      <c r="E216" s="32"/>
      <c r="F216" s="34"/>
      <c r="G216" s="35"/>
      <c r="H216" s="37" t="str">
        <f t="shared" si="1"/>
        <v/>
      </c>
    </row>
    <row r="217">
      <c r="A217" s="28"/>
      <c r="C217" s="30"/>
      <c r="D217" s="31"/>
      <c r="E217" s="32"/>
      <c r="F217" s="34"/>
      <c r="G217" s="35"/>
      <c r="H217" s="37" t="str">
        <f t="shared" si="1"/>
        <v/>
      </c>
    </row>
    <row r="218">
      <c r="A218" s="28"/>
      <c r="C218" s="30"/>
      <c r="D218" s="31"/>
      <c r="E218" s="32"/>
      <c r="F218" s="34"/>
      <c r="G218" s="35"/>
      <c r="H218" s="37" t="str">
        <f t="shared" si="1"/>
        <v/>
      </c>
    </row>
    <row r="219">
      <c r="A219" s="28"/>
      <c r="C219" s="30"/>
      <c r="D219" s="31"/>
      <c r="E219" s="32"/>
      <c r="F219" s="34"/>
      <c r="G219" s="35"/>
      <c r="H219" s="37" t="str">
        <f t="shared" si="1"/>
        <v/>
      </c>
    </row>
    <row r="220">
      <c r="A220" s="28"/>
      <c r="C220" s="30"/>
      <c r="D220" s="31"/>
      <c r="E220" s="32"/>
      <c r="F220" s="34"/>
      <c r="G220" s="35"/>
      <c r="H220" s="37" t="str">
        <f t="shared" si="1"/>
        <v/>
      </c>
    </row>
    <row r="221">
      <c r="A221" s="28"/>
      <c r="C221" s="30"/>
      <c r="D221" s="31"/>
      <c r="E221" s="32"/>
      <c r="F221" s="34"/>
      <c r="G221" s="35"/>
      <c r="H221" s="37" t="str">
        <f t="shared" si="1"/>
        <v/>
      </c>
    </row>
    <row r="222">
      <c r="A222" s="28"/>
      <c r="C222" s="30"/>
      <c r="D222" s="31"/>
      <c r="E222" s="32"/>
      <c r="F222" s="34"/>
      <c r="G222" s="35"/>
      <c r="H222" s="37" t="str">
        <f t="shared" si="1"/>
        <v/>
      </c>
    </row>
    <row r="223">
      <c r="A223" s="28"/>
      <c r="C223" s="30"/>
      <c r="D223" s="31"/>
      <c r="E223" s="32"/>
      <c r="F223" s="34"/>
      <c r="G223" s="35"/>
      <c r="H223" s="37" t="str">
        <f t="shared" si="1"/>
        <v/>
      </c>
    </row>
    <row r="224">
      <c r="A224" s="28"/>
      <c r="C224" s="30"/>
      <c r="D224" s="31"/>
      <c r="E224" s="32"/>
      <c r="F224" s="34"/>
      <c r="G224" s="35"/>
      <c r="H224" s="37" t="str">
        <f t="shared" si="1"/>
        <v/>
      </c>
    </row>
    <row r="225">
      <c r="A225" s="28"/>
      <c r="C225" s="30"/>
      <c r="D225" s="31"/>
      <c r="E225" s="32"/>
      <c r="F225" s="34"/>
      <c r="G225" s="35"/>
      <c r="H225" s="37" t="str">
        <f t="shared" si="1"/>
        <v/>
      </c>
    </row>
    <row r="226">
      <c r="A226" s="28"/>
      <c r="C226" s="30"/>
      <c r="D226" s="31"/>
      <c r="E226" s="32"/>
      <c r="F226" s="34"/>
      <c r="G226" s="35"/>
      <c r="H226" s="37" t="str">
        <f t="shared" si="1"/>
        <v/>
      </c>
    </row>
    <row r="227">
      <c r="A227" s="28"/>
      <c r="C227" s="30"/>
      <c r="D227" s="31"/>
      <c r="E227" s="32"/>
      <c r="F227" s="34"/>
      <c r="G227" s="35"/>
      <c r="H227" s="37" t="str">
        <f t="shared" si="1"/>
        <v/>
      </c>
    </row>
    <row r="228">
      <c r="A228" s="28"/>
      <c r="C228" s="30"/>
      <c r="D228" s="31"/>
      <c r="E228" s="32"/>
      <c r="F228" s="34"/>
      <c r="G228" s="35"/>
      <c r="H228" s="37" t="str">
        <f t="shared" si="1"/>
        <v/>
      </c>
    </row>
    <row r="229">
      <c r="A229" s="28"/>
      <c r="C229" s="30"/>
      <c r="D229" s="31"/>
      <c r="E229" s="32"/>
      <c r="F229" s="34"/>
      <c r="G229" s="35"/>
      <c r="H229" s="37" t="str">
        <f t="shared" si="1"/>
        <v/>
      </c>
    </row>
    <row r="230">
      <c r="A230" s="28"/>
      <c r="C230" s="30"/>
      <c r="D230" s="31"/>
      <c r="E230" s="32"/>
      <c r="F230" s="34"/>
      <c r="G230" s="35"/>
      <c r="H230" s="37" t="str">
        <f t="shared" si="1"/>
        <v/>
      </c>
    </row>
    <row r="231">
      <c r="A231" s="28"/>
      <c r="C231" s="30"/>
      <c r="D231" s="31"/>
      <c r="E231" s="32"/>
      <c r="F231" s="34"/>
      <c r="G231" s="35"/>
      <c r="H231" s="37" t="str">
        <f t="shared" si="1"/>
        <v/>
      </c>
    </row>
    <row r="232">
      <c r="A232" s="28"/>
      <c r="C232" s="30"/>
      <c r="D232" s="31"/>
      <c r="E232" s="32"/>
      <c r="F232" s="34"/>
      <c r="G232" s="35"/>
      <c r="H232" s="37" t="str">
        <f t="shared" si="1"/>
        <v/>
      </c>
    </row>
    <row r="233">
      <c r="A233" s="28"/>
      <c r="C233" s="30"/>
      <c r="D233" s="31"/>
      <c r="E233" s="32"/>
      <c r="F233" s="34"/>
      <c r="G233" s="35"/>
      <c r="H233" s="37" t="str">
        <f t="shared" si="1"/>
        <v/>
      </c>
    </row>
    <row r="234">
      <c r="A234" s="28"/>
      <c r="C234" s="30"/>
      <c r="D234" s="31"/>
      <c r="E234" s="32"/>
      <c r="F234" s="34"/>
      <c r="G234" s="35"/>
      <c r="H234" s="37" t="str">
        <f t="shared" si="1"/>
        <v/>
      </c>
    </row>
    <row r="235">
      <c r="A235" s="28"/>
      <c r="C235" s="30"/>
      <c r="D235" s="31"/>
      <c r="E235" s="32"/>
      <c r="F235" s="34"/>
      <c r="G235" s="35"/>
      <c r="H235" s="37" t="str">
        <f t="shared" si="1"/>
        <v/>
      </c>
    </row>
    <row r="236">
      <c r="A236" s="28"/>
      <c r="C236" s="30"/>
      <c r="D236" s="31"/>
      <c r="E236" s="32"/>
      <c r="F236" s="34"/>
      <c r="G236" s="35"/>
      <c r="H236" s="37" t="str">
        <f t="shared" si="1"/>
        <v/>
      </c>
    </row>
    <row r="237">
      <c r="A237" s="28"/>
      <c r="C237" s="30"/>
      <c r="D237" s="31"/>
      <c r="E237" s="32"/>
      <c r="F237" s="34"/>
      <c r="G237" s="35"/>
      <c r="H237" s="37" t="str">
        <f t="shared" si="1"/>
        <v/>
      </c>
    </row>
    <row r="238">
      <c r="A238" s="28"/>
      <c r="C238" s="30"/>
      <c r="D238" s="31"/>
      <c r="E238" s="32"/>
      <c r="F238" s="34"/>
      <c r="G238" s="35"/>
      <c r="H238" s="37" t="str">
        <f t="shared" si="1"/>
        <v/>
      </c>
    </row>
    <row r="239">
      <c r="A239" s="28"/>
      <c r="C239" s="30"/>
      <c r="D239" s="31"/>
      <c r="E239" s="32"/>
      <c r="F239" s="34"/>
      <c r="G239" s="35"/>
      <c r="H239" s="37" t="str">
        <f t="shared" si="1"/>
        <v/>
      </c>
    </row>
    <row r="240">
      <c r="A240" s="28"/>
      <c r="C240" s="30"/>
      <c r="D240" s="31"/>
      <c r="E240" s="32"/>
      <c r="F240" s="34"/>
      <c r="G240" s="35"/>
      <c r="H240" s="37" t="str">
        <f t="shared" si="1"/>
        <v/>
      </c>
    </row>
    <row r="241">
      <c r="A241" s="28"/>
      <c r="C241" s="30"/>
      <c r="D241" s="31"/>
      <c r="E241" s="32"/>
      <c r="F241" s="34"/>
      <c r="G241" s="35"/>
      <c r="H241" s="37" t="str">
        <f t="shared" si="1"/>
        <v/>
      </c>
    </row>
    <row r="242">
      <c r="A242" s="28"/>
      <c r="C242" s="30"/>
      <c r="D242" s="31"/>
      <c r="E242" s="32"/>
      <c r="F242" s="34"/>
      <c r="G242" s="35"/>
      <c r="H242" s="37" t="str">
        <f t="shared" si="1"/>
        <v/>
      </c>
    </row>
    <row r="243">
      <c r="A243" s="28"/>
      <c r="C243" s="30"/>
      <c r="D243" s="31"/>
      <c r="E243" s="32"/>
      <c r="F243" s="34"/>
      <c r="G243" s="35"/>
      <c r="H243" s="37" t="str">
        <f t="shared" si="1"/>
        <v/>
      </c>
    </row>
    <row r="244">
      <c r="A244" s="28"/>
      <c r="C244" s="30"/>
      <c r="D244" s="31"/>
      <c r="E244" s="32"/>
      <c r="F244" s="34"/>
      <c r="G244" s="35"/>
      <c r="H244" s="37" t="str">
        <f t="shared" si="1"/>
        <v/>
      </c>
    </row>
    <row r="245">
      <c r="A245" s="28"/>
      <c r="C245" s="30"/>
      <c r="D245" s="31"/>
      <c r="E245" s="32"/>
      <c r="F245" s="34"/>
      <c r="G245" s="35"/>
      <c r="H245" s="37" t="str">
        <f t="shared" si="1"/>
        <v/>
      </c>
    </row>
    <row r="246">
      <c r="A246" s="28"/>
      <c r="C246" s="30"/>
      <c r="D246" s="31"/>
      <c r="E246" s="32"/>
      <c r="F246" s="34"/>
      <c r="G246" s="35"/>
      <c r="H246" s="37" t="str">
        <f t="shared" si="1"/>
        <v/>
      </c>
    </row>
    <row r="247">
      <c r="A247" s="28"/>
      <c r="C247" s="30"/>
      <c r="D247" s="31"/>
      <c r="E247" s="32"/>
      <c r="F247" s="34"/>
      <c r="G247" s="35"/>
      <c r="H247" s="37" t="str">
        <f t="shared" si="1"/>
        <v/>
      </c>
    </row>
    <row r="248">
      <c r="A248" s="28"/>
      <c r="C248" s="30"/>
      <c r="D248" s="31"/>
      <c r="E248" s="32"/>
      <c r="F248" s="34"/>
      <c r="G248" s="35"/>
      <c r="H248" s="37" t="str">
        <f t="shared" si="1"/>
        <v/>
      </c>
    </row>
    <row r="249">
      <c r="A249" s="28"/>
      <c r="C249" s="30"/>
      <c r="D249" s="31"/>
      <c r="E249" s="32"/>
      <c r="F249" s="34"/>
      <c r="G249" s="35"/>
      <c r="H249" s="37" t="str">
        <f t="shared" si="1"/>
        <v/>
      </c>
    </row>
    <row r="250">
      <c r="A250" s="28"/>
      <c r="C250" s="30"/>
      <c r="D250" s="31"/>
      <c r="E250" s="32"/>
      <c r="F250" s="34"/>
      <c r="G250" s="35"/>
      <c r="H250" s="37" t="str">
        <f t="shared" si="1"/>
        <v/>
      </c>
    </row>
    <row r="251">
      <c r="A251" s="28"/>
      <c r="C251" s="30"/>
      <c r="D251" s="31"/>
      <c r="E251" s="32"/>
      <c r="F251" s="34"/>
      <c r="G251" s="35"/>
      <c r="H251" s="37" t="str">
        <f t="shared" si="1"/>
        <v/>
      </c>
    </row>
    <row r="252">
      <c r="A252" s="28"/>
      <c r="C252" s="30"/>
      <c r="D252" s="31"/>
      <c r="E252" s="32"/>
      <c r="F252" s="34"/>
      <c r="G252" s="35"/>
      <c r="H252" s="37" t="str">
        <f t="shared" si="1"/>
        <v/>
      </c>
    </row>
    <row r="253">
      <c r="A253" s="28"/>
      <c r="C253" s="30"/>
      <c r="D253" s="31"/>
      <c r="E253" s="32"/>
      <c r="F253" s="34"/>
      <c r="G253" s="35"/>
      <c r="H253" s="37" t="str">
        <f t="shared" si="1"/>
        <v/>
      </c>
    </row>
    <row r="254">
      <c r="A254" s="28"/>
      <c r="C254" s="30"/>
      <c r="D254" s="31"/>
      <c r="E254" s="32"/>
      <c r="F254" s="34"/>
      <c r="G254" s="35"/>
      <c r="H254" s="37" t="str">
        <f t="shared" si="1"/>
        <v/>
      </c>
    </row>
    <row r="255">
      <c r="A255" s="28"/>
      <c r="C255" s="30"/>
      <c r="D255" s="31"/>
      <c r="E255" s="32"/>
      <c r="F255" s="34"/>
      <c r="G255" s="35"/>
      <c r="H255" s="37" t="str">
        <f t="shared" si="1"/>
        <v/>
      </c>
    </row>
    <row r="256">
      <c r="A256" s="28"/>
      <c r="C256" s="30"/>
      <c r="D256" s="31"/>
      <c r="E256" s="32"/>
      <c r="F256" s="34"/>
      <c r="G256" s="35"/>
      <c r="H256" s="37" t="str">
        <f t="shared" si="1"/>
        <v/>
      </c>
    </row>
    <row r="257">
      <c r="A257" s="28"/>
      <c r="C257" s="30"/>
      <c r="D257" s="31"/>
      <c r="E257" s="32"/>
      <c r="F257" s="34"/>
      <c r="G257" s="35"/>
      <c r="H257" s="37" t="str">
        <f t="shared" si="1"/>
        <v/>
      </c>
    </row>
    <row r="258">
      <c r="A258" s="28"/>
      <c r="C258" s="30"/>
      <c r="D258" s="31"/>
      <c r="E258" s="32"/>
      <c r="F258" s="34"/>
      <c r="G258" s="35"/>
      <c r="H258" s="37" t="str">
        <f t="shared" si="1"/>
        <v/>
      </c>
    </row>
    <row r="259">
      <c r="A259" s="28"/>
      <c r="C259" s="30"/>
      <c r="D259" s="31"/>
      <c r="E259" s="32"/>
      <c r="F259" s="34"/>
      <c r="G259" s="35"/>
      <c r="H259" s="37" t="str">
        <f t="shared" si="1"/>
        <v/>
      </c>
    </row>
    <row r="260">
      <c r="A260" s="28"/>
      <c r="C260" s="30"/>
      <c r="D260" s="31"/>
      <c r="E260" s="32"/>
      <c r="F260" s="34"/>
      <c r="G260" s="35"/>
      <c r="H260" s="37" t="str">
        <f t="shared" si="1"/>
        <v/>
      </c>
    </row>
    <row r="261">
      <c r="A261" s="28"/>
      <c r="C261" s="30"/>
      <c r="D261" s="31"/>
      <c r="E261" s="32"/>
      <c r="F261" s="34"/>
      <c r="G261" s="35"/>
      <c r="H261" s="37" t="str">
        <f t="shared" si="1"/>
        <v/>
      </c>
    </row>
    <row r="262">
      <c r="A262" s="28"/>
      <c r="C262" s="30"/>
      <c r="D262" s="31"/>
      <c r="E262" s="32"/>
      <c r="F262" s="34"/>
      <c r="G262" s="35"/>
      <c r="H262" s="37" t="str">
        <f t="shared" si="1"/>
        <v/>
      </c>
    </row>
    <row r="263">
      <c r="A263" s="28"/>
      <c r="C263" s="30"/>
      <c r="D263" s="31"/>
      <c r="E263" s="32"/>
      <c r="F263" s="34"/>
      <c r="G263" s="35"/>
      <c r="H263" s="37" t="str">
        <f t="shared" si="1"/>
        <v/>
      </c>
    </row>
    <row r="264">
      <c r="A264" s="28"/>
      <c r="C264" s="30"/>
      <c r="D264" s="31"/>
      <c r="E264" s="32"/>
      <c r="F264" s="34"/>
      <c r="G264" s="35"/>
      <c r="H264" s="37" t="str">
        <f t="shared" si="1"/>
        <v/>
      </c>
    </row>
    <row r="265">
      <c r="A265" s="28"/>
      <c r="C265" s="30"/>
      <c r="D265" s="31"/>
      <c r="E265" s="32"/>
      <c r="F265" s="34"/>
      <c r="G265" s="35"/>
      <c r="H265" s="37" t="str">
        <f t="shared" si="1"/>
        <v/>
      </c>
    </row>
    <row r="266">
      <c r="A266" s="28"/>
      <c r="C266" s="30"/>
      <c r="D266" s="31"/>
      <c r="E266" s="32"/>
      <c r="F266" s="34"/>
      <c r="G266" s="35"/>
      <c r="H266" s="37" t="str">
        <f t="shared" si="1"/>
        <v/>
      </c>
    </row>
    <row r="267">
      <c r="A267" s="28"/>
      <c r="C267" s="30"/>
      <c r="D267" s="31"/>
      <c r="E267" s="32"/>
      <c r="F267" s="34"/>
      <c r="G267" s="35"/>
      <c r="H267" s="37" t="str">
        <f t="shared" si="1"/>
        <v/>
      </c>
    </row>
    <row r="268">
      <c r="A268" s="28"/>
      <c r="C268" s="30"/>
      <c r="D268" s="31"/>
      <c r="E268" s="32"/>
      <c r="F268" s="34"/>
      <c r="G268" s="35"/>
      <c r="H268" s="37" t="str">
        <f t="shared" si="1"/>
        <v/>
      </c>
    </row>
    <row r="269">
      <c r="A269" s="28"/>
      <c r="C269" s="30"/>
      <c r="D269" s="31"/>
      <c r="E269" s="32"/>
      <c r="F269" s="34"/>
      <c r="G269" s="35"/>
      <c r="H269" s="37" t="str">
        <f t="shared" si="1"/>
        <v/>
      </c>
    </row>
    <row r="270">
      <c r="A270" s="28"/>
      <c r="C270" s="30"/>
      <c r="D270" s="31"/>
      <c r="E270" s="32"/>
      <c r="F270" s="34"/>
      <c r="G270" s="35"/>
      <c r="H270" s="37" t="str">
        <f t="shared" si="1"/>
        <v/>
      </c>
    </row>
    <row r="271">
      <c r="A271" s="28"/>
      <c r="C271" s="30"/>
      <c r="D271" s="31"/>
      <c r="E271" s="32"/>
      <c r="F271" s="34"/>
      <c r="G271" s="35"/>
      <c r="H271" s="37" t="str">
        <f t="shared" si="1"/>
        <v/>
      </c>
    </row>
    <row r="272">
      <c r="A272" s="28"/>
      <c r="C272" s="30"/>
      <c r="D272" s="31"/>
      <c r="E272" s="32"/>
      <c r="F272" s="34"/>
      <c r="G272" s="35"/>
      <c r="H272" s="37" t="str">
        <f t="shared" si="1"/>
        <v/>
      </c>
    </row>
    <row r="273">
      <c r="A273" s="28"/>
      <c r="C273" s="30"/>
      <c r="D273" s="31"/>
      <c r="E273" s="32"/>
      <c r="F273" s="34"/>
      <c r="G273" s="35"/>
      <c r="H273" s="37" t="str">
        <f t="shared" si="1"/>
        <v/>
      </c>
    </row>
    <row r="274">
      <c r="A274" s="28"/>
      <c r="C274" s="30"/>
      <c r="D274" s="31"/>
      <c r="E274" s="32"/>
      <c r="F274" s="34"/>
      <c r="G274" s="35"/>
      <c r="H274" s="37" t="str">
        <f t="shared" si="1"/>
        <v/>
      </c>
    </row>
    <row r="275">
      <c r="A275" s="28"/>
      <c r="C275" s="30"/>
      <c r="D275" s="31"/>
      <c r="E275" s="32"/>
      <c r="F275" s="34"/>
      <c r="G275" s="35"/>
      <c r="H275" s="37" t="str">
        <f t="shared" si="1"/>
        <v/>
      </c>
    </row>
    <row r="276">
      <c r="A276" s="28"/>
      <c r="C276" s="30"/>
      <c r="D276" s="31"/>
      <c r="E276" s="32"/>
      <c r="F276" s="34"/>
      <c r="G276" s="35"/>
      <c r="H276" s="37" t="str">
        <f t="shared" si="1"/>
        <v/>
      </c>
    </row>
    <row r="277">
      <c r="A277" s="28"/>
      <c r="C277" s="30"/>
      <c r="D277" s="31"/>
      <c r="E277" s="32"/>
      <c r="F277" s="34"/>
      <c r="G277" s="35"/>
      <c r="H277" s="37" t="str">
        <f t="shared" si="1"/>
        <v/>
      </c>
    </row>
    <row r="278">
      <c r="A278" s="28"/>
      <c r="C278" s="30"/>
      <c r="D278" s="31"/>
      <c r="E278" s="32"/>
      <c r="F278" s="34"/>
      <c r="G278" s="35"/>
      <c r="H278" s="37" t="str">
        <f t="shared" si="1"/>
        <v/>
      </c>
    </row>
    <row r="279">
      <c r="A279" s="28"/>
      <c r="C279" s="30"/>
      <c r="D279" s="31"/>
      <c r="E279" s="32"/>
      <c r="F279" s="34"/>
      <c r="G279" s="35"/>
      <c r="H279" s="37" t="str">
        <f t="shared" si="1"/>
        <v/>
      </c>
    </row>
    <row r="280">
      <c r="A280" s="28"/>
      <c r="C280" s="30"/>
      <c r="D280" s="31"/>
      <c r="E280" s="32"/>
      <c r="F280" s="34"/>
      <c r="G280" s="35"/>
      <c r="H280" s="37" t="str">
        <f t="shared" si="1"/>
        <v/>
      </c>
    </row>
    <row r="281">
      <c r="A281" s="28"/>
      <c r="C281" s="30"/>
      <c r="D281" s="31"/>
      <c r="E281" s="32"/>
      <c r="F281" s="34"/>
      <c r="G281" s="35"/>
      <c r="H281" s="37" t="str">
        <f t="shared" si="1"/>
        <v/>
      </c>
    </row>
    <row r="282">
      <c r="A282" s="28"/>
      <c r="C282" s="30"/>
      <c r="D282" s="31"/>
      <c r="E282" s="32"/>
      <c r="F282" s="34"/>
      <c r="G282" s="35"/>
      <c r="H282" s="37" t="str">
        <f t="shared" si="1"/>
        <v/>
      </c>
    </row>
    <row r="283">
      <c r="A283" s="28"/>
      <c r="C283" s="30"/>
      <c r="D283" s="31"/>
      <c r="E283" s="32"/>
      <c r="F283" s="34"/>
      <c r="G283" s="35"/>
      <c r="H283" s="37" t="str">
        <f t="shared" si="1"/>
        <v/>
      </c>
    </row>
    <row r="284">
      <c r="A284" s="28"/>
      <c r="C284" s="30"/>
      <c r="D284" s="31"/>
      <c r="E284" s="32"/>
      <c r="F284" s="34"/>
      <c r="G284" s="35"/>
      <c r="H284" s="37" t="str">
        <f t="shared" si="1"/>
        <v/>
      </c>
    </row>
    <row r="285">
      <c r="A285" s="28"/>
      <c r="C285" s="30"/>
      <c r="D285" s="31"/>
      <c r="E285" s="32"/>
      <c r="F285" s="34"/>
      <c r="G285" s="35"/>
      <c r="H285" s="37" t="str">
        <f t="shared" si="1"/>
        <v/>
      </c>
    </row>
    <row r="286">
      <c r="A286" s="28"/>
      <c r="C286" s="30"/>
      <c r="D286" s="31"/>
      <c r="E286" s="32"/>
      <c r="F286" s="34"/>
      <c r="G286" s="35"/>
      <c r="H286" s="37" t="str">
        <f t="shared" si="1"/>
        <v/>
      </c>
    </row>
    <row r="287">
      <c r="A287" s="28"/>
      <c r="C287" s="30"/>
      <c r="D287" s="31"/>
      <c r="E287" s="32"/>
      <c r="F287" s="34"/>
      <c r="G287" s="35"/>
      <c r="H287" s="37" t="str">
        <f t="shared" si="1"/>
        <v/>
      </c>
    </row>
    <row r="288">
      <c r="A288" s="28"/>
      <c r="C288" s="30"/>
      <c r="D288" s="31"/>
      <c r="E288" s="32"/>
      <c r="F288" s="34"/>
      <c r="G288" s="35"/>
      <c r="H288" s="37" t="str">
        <f t="shared" si="1"/>
        <v/>
      </c>
    </row>
    <row r="289">
      <c r="A289" s="28"/>
      <c r="C289" s="30"/>
      <c r="D289" s="31"/>
      <c r="E289" s="32"/>
      <c r="F289" s="34"/>
      <c r="G289" s="35"/>
      <c r="H289" s="37" t="str">
        <f t="shared" si="1"/>
        <v/>
      </c>
    </row>
    <row r="290">
      <c r="A290" s="28"/>
      <c r="C290" s="30"/>
      <c r="D290" s="31"/>
      <c r="E290" s="32"/>
      <c r="F290" s="34"/>
      <c r="G290" s="35"/>
      <c r="H290" s="37" t="str">
        <f t="shared" si="1"/>
        <v/>
      </c>
    </row>
    <row r="291">
      <c r="A291" s="28"/>
      <c r="C291" s="30"/>
      <c r="D291" s="31"/>
      <c r="E291" s="32"/>
      <c r="F291" s="34"/>
      <c r="G291" s="35"/>
      <c r="H291" s="37" t="str">
        <f t="shared" si="1"/>
        <v/>
      </c>
    </row>
    <row r="292">
      <c r="A292" s="28"/>
      <c r="C292" s="30"/>
      <c r="D292" s="31"/>
      <c r="E292" s="32"/>
      <c r="F292" s="34"/>
      <c r="G292" s="35"/>
      <c r="H292" s="37" t="str">
        <f t="shared" si="1"/>
        <v/>
      </c>
    </row>
    <row r="293">
      <c r="A293" s="28"/>
      <c r="C293" s="30"/>
      <c r="D293" s="31"/>
      <c r="E293" s="32"/>
      <c r="F293" s="34"/>
      <c r="G293" s="35"/>
      <c r="H293" s="37" t="str">
        <f t="shared" si="1"/>
        <v/>
      </c>
    </row>
    <row r="294">
      <c r="A294" s="28"/>
      <c r="C294" s="30"/>
      <c r="D294" s="31"/>
      <c r="E294" s="32"/>
      <c r="F294" s="34"/>
      <c r="G294" s="35"/>
      <c r="H294" s="37" t="str">
        <f t="shared" si="1"/>
        <v/>
      </c>
    </row>
    <row r="295">
      <c r="A295" s="28"/>
      <c r="C295" s="30"/>
      <c r="D295" s="31"/>
      <c r="E295" s="32"/>
      <c r="F295" s="34"/>
      <c r="G295" s="35"/>
      <c r="H295" s="37" t="str">
        <f t="shared" si="1"/>
        <v/>
      </c>
    </row>
    <row r="296">
      <c r="A296" s="28"/>
      <c r="C296" s="30"/>
      <c r="D296" s="31"/>
      <c r="E296" s="32"/>
      <c r="F296" s="34"/>
      <c r="G296" s="35"/>
      <c r="H296" s="37" t="str">
        <f t="shared" si="1"/>
        <v/>
      </c>
    </row>
    <row r="297">
      <c r="A297" s="28"/>
      <c r="C297" s="30"/>
      <c r="D297" s="31"/>
      <c r="E297" s="32"/>
      <c r="F297" s="34"/>
      <c r="G297" s="35"/>
      <c r="H297" s="37" t="str">
        <f t="shared" si="1"/>
        <v/>
      </c>
    </row>
    <row r="298">
      <c r="A298" s="28"/>
      <c r="C298" s="30"/>
      <c r="D298" s="31"/>
      <c r="E298" s="32"/>
      <c r="F298" s="34"/>
      <c r="G298" s="35"/>
      <c r="H298" s="37" t="str">
        <f t="shared" si="1"/>
        <v/>
      </c>
    </row>
    <row r="299">
      <c r="A299" s="28"/>
      <c r="C299" s="30"/>
      <c r="D299" s="31"/>
      <c r="E299" s="32"/>
      <c r="F299" s="34"/>
      <c r="G299" s="35"/>
      <c r="H299" s="37" t="str">
        <f t="shared" si="1"/>
        <v/>
      </c>
    </row>
    <row r="300">
      <c r="A300" s="28"/>
      <c r="C300" s="30"/>
      <c r="D300" s="31"/>
      <c r="E300" s="32"/>
      <c r="F300" s="34"/>
      <c r="G300" s="35"/>
      <c r="H300" s="37" t="str">
        <f t="shared" si="1"/>
        <v/>
      </c>
    </row>
    <row r="301">
      <c r="A301" s="28"/>
      <c r="C301" s="30"/>
      <c r="D301" s="31"/>
      <c r="E301" s="32"/>
      <c r="F301" s="34"/>
      <c r="G301" s="35"/>
      <c r="H301" s="37" t="str">
        <f t="shared" si="1"/>
        <v/>
      </c>
    </row>
    <row r="302">
      <c r="A302" s="28"/>
      <c r="C302" s="30"/>
      <c r="D302" s="31"/>
      <c r="E302" s="32"/>
      <c r="F302" s="34"/>
      <c r="G302" s="35"/>
      <c r="H302" s="37" t="str">
        <f t="shared" si="1"/>
        <v/>
      </c>
    </row>
    <row r="303">
      <c r="A303" s="28"/>
      <c r="C303" s="30"/>
      <c r="D303" s="31"/>
      <c r="E303" s="32"/>
      <c r="F303" s="34"/>
      <c r="G303" s="35"/>
      <c r="H303" s="37" t="str">
        <f t="shared" si="1"/>
        <v/>
      </c>
    </row>
    <row r="304">
      <c r="A304" s="28"/>
      <c r="C304" s="30"/>
      <c r="D304" s="31"/>
      <c r="E304" s="32"/>
      <c r="F304" s="34"/>
      <c r="G304" s="35"/>
      <c r="H304" s="37" t="str">
        <f t="shared" si="1"/>
        <v/>
      </c>
    </row>
    <row r="305">
      <c r="A305" s="28"/>
      <c r="C305" s="30"/>
      <c r="D305" s="31"/>
      <c r="E305" s="32"/>
      <c r="F305" s="34"/>
      <c r="G305" s="35"/>
      <c r="H305" s="37" t="str">
        <f t="shared" si="1"/>
        <v/>
      </c>
    </row>
    <row r="306">
      <c r="A306" s="28"/>
      <c r="C306" s="30"/>
      <c r="D306" s="31"/>
      <c r="E306" s="32"/>
      <c r="F306" s="34"/>
      <c r="G306" s="35"/>
      <c r="H306" s="37" t="str">
        <f t="shared" si="1"/>
        <v/>
      </c>
    </row>
    <row r="307">
      <c r="A307" s="28"/>
      <c r="C307" s="30"/>
      <c r="D307" s="31"/>
      <c r="E307" s="32"/>
      <c r="F307" s="34"/>
      <c r="G307" s="35"/>
      <c r="H307" s="37" t="str">
        <f t="shared" si="1"/>
        <v/>
      </c>
    </row>
    <row r="308">
      <c r="A308" s="28"/>
      <c r="C308" s="30"/>
      <c r="D308" s="31"/>
      <c r="E308" s="32"/>
      <c r="F308" s="34"/>
      <c r="G308" s="35"/>
      <c r="H308" s="37" t="str">
        <f t="shared" si="1"/>
        <v/>
      </c>
    </row>
    <row r="309">
      <c r="A309" s="28"/>
      <c r="C309" s="30"/>
      <c r="D309" s="31"/>
      <c r="E309" s="32"/>
      <c r="F309" s="34"/>
      <c r="G309" s="35"/>
      <c r="H309" s="37" t="str">
        <f t="shared" si="1"/>
        <v/>
      </c>
    </row>
    <row r="310">
      <c r="A310" s="28"/>
      <c r="C310" s="30"/>
      <c r="D310" s="31"/>
      <c r="E310" s="32"/>
      <c r="F310" s="34"/>
      <c r="G310" s="35"/>
      <c r="H310" s="37" t="str">
        <f t="shared" si="1"/>
        <v/>
      </c>
    </row>
    <row r="311">
      <c r="A311" s="28"/>
      <c r="C311" s="30"/>
      <c r="D311" s="31"/>
      <c r="E311" s="32"/>
      <c r="F311" s="34"/>
      <c r="G311" s="35"/>
      <c r="H311" s="37" t="str">
        <f t="shared" si="1"/>
        <v/>
      </c>
    </row>
    <row r="312">
      <c r="A312" s="28"/>
      <c r="C312" s="30"/>
      <c r="D312" s="31"/>
      <c r="E312" s="32"/>
      <c r="F312" s="34"/>
      <c r="G312" s="35"/>
      <c r="H312" s="37" t="str">
        <f t="shared" si="1"/>
        <v/>
      </c>
    </row>
    <row r="313">
      <c r="A313" s="28"/>
      <c r="C313" s="30"/>
      <c r="D313" s="31"/>
      <c r="E313" s="32"/>
      <c r="F313" s="34"/>
      <c r="G313" s="35"/>
      <c r="H313" s="37" t="str">
        <f t="shared" si="1"/>
        <v/>
      </c>
    </row>
    <row r="314">
      <c r="A314" s="28"/>
      <c r="C314" s="30"/>
      <c r="D314" s="31"/>
      <c r="E314" s="32"/>
      <c r="F314" s="34"/>
      <c r="G314" s="35"/>
      <c r="H314" s="37" t="str">
        <f t="shared" si="1"/>
        <v/>
      </c>
    </row>
    <row r="315">
      <c r="A315" s="28"/>
      <c r="C315" s="30"/>
      <c r="D315" s="31"/>
      <c r="E315" s="32"/>
      <c r="F315" s="34"/>
      <c r="G315" s="35"/>
      <c r="H315" s="37" t="str">
        <f t="shared" si="1"/>
        <v/>
      </c>
    </row>
    <row r="316">
      <c r="A316" s="28"/>
      <c r="C316" s="30"/>
      <c r="D316" s="31"/>
      <c r="E316" s="32"/>
      <c r="F316" s="34"/>
      <c r="G316" s="35"/>
      <c r="H316" s="37" t="str">
        <f t="shared" si="1"/>
        <v/>
      </c>
    </row>
    <row r="317">
      <c r="A317" s="28"/>
      <c r="C317" s="30"/>
      <c r="D317" s="31"/>
      <c r="E317" s="32"/>
      <c r="F317" s="34"/>
      <c r="G317" s="35"/>
      <c r="H317" s="37" t="str">
        <f t="shared" si="1"/>
        <v/>
      </c>
    </row>
    <row r="318">
      <c r="A318" s="28"/>
      <c r="C318" s="30"/>
      <c r="D318" s="31"/>
      <c r="E318" s="32"/>
      <c r="F318" s="34"/>
      <c r="G318" s="35"/>
      <c r="H318" s="37" t="str">
        <f t="shared" si="1"/>
        <v/>
      </c>
    </row>
    <row r="319">
      <c r="A319" s="28"/>
      <c r="C319" s="30"/>
      <c r="D319" s="31"/>
      <c r="E319" s="32"/>
      <c r="F319" s="34"/>
      <c r="G319" s="35"/>
      <c r="H319" s="37" t="str">
        <f t="shared" si="1"/>
        <v/>
      </c>
    </row>
    <row r="320">
      <c r="A320" s="28"/>
      <c r="C320" s="30"/>
      <c r="D320" s="31"/>
      <c r="E320" s="32"/>
      <c r="F320" s="34"/>
      <c r="G320" s="35"/>
      <c r="H320" s="37" t="str">
        <f t="shared" si="1"/>
        <v/>
      </c>
    </row>
    <row r="321">
      <c r="A321" s="28"/>
      <c r="C321" s="30"/>
      <c r="D321" s="31"/>
      <c r="E321" s="32"/>
      <c r="F321" s="34"/>
      <c r="G321" s="35"/>
      <c r="H321" s="37" t="str">
        <f t="shared" si="1"/>
        <v/>
      </c>
    </row>
    <row r="322">
      <c r="A322" s="28"/>
      <c r="C322" s="30"/>
      <c r="D322" s="31"/>
      <c r="E322" s="32"/>
      <c r="F322" s="34"/>
      <c r="G322" s="35"/>
      <c r="H322" s="37" t="str">
        <f t="shared" si="1"/>
        <v/>
      </c>
    </row>
    <row r="323">
      <c r="A323" s="28"/>
      <c r="C323" s="30"/>
      <c r="D323" s="31"/>
      <c r="E323" s="32"/>
      <c r="F323" s="34"/>
      <c r="G323" s="35"/>
      <c r="H323" s="37" t="str">
        <f t="shared" si="1"/>
        <v/>
      </c>
    </row>
    <row r="324">
      <c r="A324" s="28"/>
      <c r="C324" s="30"/>
      <c r="D324" s="31"/>
      <c r="E324" s="32"/>
      <c r="F324" s="34"/>
      <c r="G324" s="35"/>
      <c r="H324" s="37" t="str">
        <f t="shared" si="1"/>
        <v/>
      </c>
    </row>
    <row r="325">
      <c r="A325" s="28"/>
      <c r="C325" s="30"/>
      <c r="D325" s="31"/>
      <c r="E325" s="32"/>
      <c r="F325" s="34"/>
      <c r="G325" s="35"/>
      <c r="H325" s="37" t="str">
        <f t="shared" si="1"/>
        <v/>
      </c>
    </row>
    <row r="326">
      <c r="A326" s="28"/>
      <c r="C326" s="30"/>
      <c r="D326" s="31"/>
      <c r="E326" s="32"/>
      <c r="F326" s="34"/>
      <c r="G326" s="35"/>
      <c r="H326" s="37" t="str">
        <f t="shared" si="1"/>
        <v/>
      </c>
    </row>
    <row r="327">
      <c r="A327" s="28"/>
      <c r="C327" s="30"/>
      <c r="D327" s="31"/>
      <c r="E327" s="32"/>
      <c r="F327" s="34"/>
      <c r="G327" s="35"/>
      <c r="H327" s="37" t="str">
        <f t="shared" si="1"/>
        <v/>
      </c>
    </row>
    <row r="328">
      <c r="A328" s="28"/>
      <c r="C328" s="30"/>
      <c r="D328" s="31"/>
      <c r="E328" s="32"/>
      <c r="F328" s="34"/>
      <c r="G328" s="35"/>
      <c r="H328" s="37" t="str">
        <f t="shared" si="1"/>
        <v/>
      </c>
    </row>
    <row r="329">
      <c r="A329" s="28"/>
      <c r="C329" s="30"/>
      <c r="D329" s="31"/>
      <c r="E329" s="32"/>
      <c r="F329" s="34"/>
      <c r="G329" s="35"/>
      <c r="H329" s="37" t="str">
        <f t="shared" si="1"/>
        <v/>
      </c>
    </row>
    <row r="330">
      <c r="A330" s="28"/>
      <c r="C330" s="30"/>
      <c r="D330" s="31"/>
      <c r="E330" s="32"/>
      <c r="F330" s="34"/>
      <c r="G330" s="35"/>
      <c r="H330" s="37" t="str">
        <f t="shared" si="1"/>
        <v/>
      </c>
    </row>
    <row r="331">
      <c r="A331" s="28"/>
      <c r="C331" s="30"/>
      <c r="D331" s="31"/>
      <c r="E331" s="32"/>
      <c r="F331" s="34"/>
      <c r="G331" s="35"/>
      <c r="H331" s="37" t="str">
        <f t="shared" si="1"/>
        <v/>
      </c>
    </row>
    <row r="332">
      <c r="A332" s="28"/>
      <c r="C332" s="30"/>
      <c r="D332" s="31"/>
      <c r="E332" s="32"/>
      <c r="F332" s="34"/>
      <c r="G332" s="35"/>
      <c r="H332" s="37" t="str">
        <f t="shared" si="1"/>
        <v/>
      </c>
    </row>
    <row r="333">
      <c r="A333" s="28"/>
      <c r="C333" s="30"/>
      <c r="D333" s="31"/>
      <c r="E333" s="32"/>
      <c r="F333" s="34"/>
      <c r="G333" s="35"/>
      <c r="H333" s="37" t="str">
        <f t="shared" si="1"/>
        <v/>
      </c>
    </row>
    <row r="334">
      <c r="A334" s="28"/>
      <c r="C334" s="30"/>
      <c r="D334" s="31"/>
      <c r="E334" s="32"/>
      <c r="F334" s="34"/>
      <c r="G334" s="35"/>
      <c r="H334" s="37" t="str">
        <f t="shared" si="1"/>
        <v/>
      </c>
    </row>
    <row r="335">
      <c r="A335" s="28"/>
      <c r="C335" s="30"/>
      <c r="D335" s="31"/>
      <c r="E335" s="32"/>
      <c r="F335" s="34"/>
      <c r="G335" s="35"/>
      <c r="H335" s="37" t="str">
        <f t="shared" si="1"/>
        <v/>
      </c>
    </row>
    <row r="336">
      <c r="A336" s="28"/>
      <c r="C336" s="30"/>
      <c r="D336" s="31"/>
      <c r="E336" s="32"/>
      <c r="F336" s="34"/>
      <c r="G336" s="35"/>
      <c r="H336" s="37" t="str">
        <f t="shared" si="1"/>
        <v/>
      </c>
    </row>
    <row r="337">
      <c r="A337" s="28"/>
      <c r="C337" s="30"/>
      <c r="D337" s="31"/>
      <c r="E337" s="32"/>
      <c r="F337" s="34"/>
      <c r="G337" s="35"/>
      <c r="H337" s="37" t="str">
        <f t="shared" si="1"/>
        <v/>
      </c>
    </row>
    <row r="338">
      <c r="A338" s="28"/>
      <c r="C338" s="30"/>
      <c r="D338" s="31"/>
      <c r="E338" s="32"/>
      <c r="F338" s="34"/>
      <c r="G338" s="35"/>
      <c r="H338" s="37" t="str">
        <f t="shared" si="1"/>
        <v/>
      </c>
    </row>
    <row r="339">
      <c r="A339" s="28"/>
      <c r="C339" s="30"/>
      <c r="D339" s="31"/>
      <c r="E339" s="32"/>
      <c r="F339" s="34"/>
      <c r="G339" s="35"/>
      <c r="H339" s="37" t="str">
        <f t="shared" si="1"/>
        <v/>
      </c>
    </row>
    <row r="340">
      <c r="A340" s="28"/>
      <c r="C340" s="30"/>
      <c r="D340" s="31"/>
      <c r="E340" s="32"/>
      <c r="F340" s="34"/>
      <c r="G340" s="35"/>
      <c r="H340" s="37" t="str">
        <f t="shared" si="1"/>
        <v/>
      </c>
    </row>
    <row r="341">
      <c r="A341" s="28"/>
      <c r="C341" s="30"/>
      <c r="D341" s="31"/>
      <c r="E341" s="32"/>
      <c r="F341" s="34"/>
      <c r="G341" s="35"/>
      <c r="H341" s="37" t="str">
        <f t="shared" si="1"/>
        <v/>
      </c>
    </row>
    <row r="342">
      <c r="A342" s="28"/>
      <c r="C342" s="30"/>
      <c r="D342" s="31"/>
      <c r="E342" s="32"/>
      <c r="F342" s="34"/>
      <c r="G342" s="35"/>
      <c r="H342" s="37" t="str">
        <f t="shared" si="1"/>
        <v/>
      </c>
    </row>
    <row r="343">
      <c r="A343" s="28"/>
      <c r="C343" s="30"/>
      <c r="D343" s="31"/>
      <c r="E343" s="32"/>
      <c r="F343" s="34"/>
      <c r="G343" s="35"/>
      <c r="H343" s="37" t="str">
        <f t="shared" si="1"/>
        <v/>
      </c>
    </row>
    <row r="344">
      <c r="A344" s="28"/>
      <c r="C344" s="30"/>
      <c r="D344" s="31"/>
      <c r="E344" s="32"/>
      <c r="F344" s="34"/>
      <c r="G344" s="35"/>
      <c r="H344" s="37" t="str">
        <f t="shared" si="1"/>
        <v/>
      </c>
    </row>
    <row r="345">
      <c r="A345" s="28"/>
      <c r="C345" s="30"/>
      <c r="D345" s="31"/>
      <c r="E345" s="32"/>
      <c r="F345" s="34"/>
      <c r="G345" s="35"/>
      <c r="H345" s="37" t="str">
        <f t="shared" si="1"/>
        <v/>
      </c>
    </row>
    <row r="346">
      <c r="A346" s="28"/>
      <c r="C346" s="30"/>
      <c r="D346" s="31"/>
      <c r="E346" s="32"/>
      <c r="F346" s="34"/>
      <c r="G346" s="35"/>
      <c r="H346" s="37" t="str">
        <f t="shared" si="1"/>
        <v/>
      </c>
    </row>
    <row r="347">
      <c r="A347" s="28"/>
      <c r="C347" s="30"/>
      <c r="D347" s="31"/>
      <c r="E347" s="32"/>
      <c r="F347" s="34"/>
      <c r="G347" s="35"/>
      <c r="H347" s="37" t="str">
        <f t="shared" si="1"/>
        <v/>
      </c>
    </row>
    <row r="348">
      <c r="A348" s="28"/>
      <c r="C348" s="30"/>
      <c r="D348" s="31"/>
      <c r="E348" s="32"/>
      <c r="F348" s="34"/>
      <c r="G348" s="35"/>
      <c r="H348" s="37" t="str">
        <f t="shared" si="1"/>
        <v/>
      </c>
    </row>
    <row r="349">
      <c r="A349" s="28"/>
      <c r="C349" s="30"/>
      <c r="D349" s="31"/>
      <c r="E349" s="32"/>
      <c r="F349" s="34"/>
      <c r="G349" s="35"/>
      <c r="H349" s="37" t="str">
        <f t="shared" si="1"/>
        <v/>
      </c>
    </row>
    <row r="350">
      <c r="A350" s="28"/>
      <c r="C350" s="30"/>
      <c r="D350" s="31"/>
      <c r="E350" s="32"/>
      <c r="F350" s="34"/>
      <c r="G350" s="35"/>
      <c r="H350" s="37" t="str">
        <f t="shared" si="1"/>
        <v/>
      </c>
    </row>
    <row r="351">
      <c r="A351" s="28"/>
      <c r="C351" s="30"/>
      <c r="D351" s="31"/>
      <c r="E351" s="32"/>
      <c r="F351" s="34"/>
      <c r="G351" s="35"/>
      <c r="H351" s="37" t="str">
        <f t="shared" si="1"/>
        <v/>
      </c>
    </row>
    <row r="352">
      <c r="A352" s="28"/>
      <c r="C352" s="30"/>
      <c r="D352" s="31"/>
      <c r="E352" s="32"/>
      <c r="F352" s="34"/>
      <c r="G352" s="35"/>
      <c r="H352" s="37" t="str">
        <f t="shared" si="1"/>
        <v/>
      </c>
    </row>
    <row r="353">
      <c r="A353" s="28"/>
      <c r="C353" s="30"/>
      <c r="D353" s="31"/>
      <c r="E353" s="32"/>
      <c r="F353" s="34"/>
      <c r="G353" s="35"/>
      <c r="H353" s="37" t="str">
        <f t="shared" si="1"/>
        <v/>
      </c>
    </row>
    <row r="354">
      <c r="A354" s="28"/>
      <c r="C354" s="30"/>
      <c r="D354" s="31"/>
      <c r="E354" s="32"/>
      <c r="F354" s="34"/>
      <c r="G354" s="35"/>
      <c r="H354" s="37" t="str">
        <f t="shared" si="1"/>
        <v/>
      </c>
    </row>
    <row r="355">
      <c r="A355" s="28"/>
      <c r="C355" s="30"/>
      <c r="D355" s="31"/>
      <c r="E355" s="32"/>
      <c r="F355" s="34"/>
      <c r="G355" s="35"/>
      <c r="H355" s="37" t="str">
        <f t="shared" si="1"/>
        <v/>
      </c>
    </row>
    <row r="356">
      <c r="A356" s="28"/>
      <c r="C356" s="30"/>
      <c r="D356" s="31"/>
      <c r="E356" s="32"/>
      <c r="F356" s="34"/>
      <c r="G356" s="35"/>
      <c r="H356" s="37" t="str">
        <f t="shared" si="1"/>
        <v/>
      </c>
    </row>
    <row r="357">
      <c r="A357" s="28"/>
      <c r="C357" s="30"/>
      <c r="D357" s="31"/>
      <c r="E357" s="32"/>
      <c r="F357" s="34"/>
      <c r="G357" s="35"/>
      <c r="H357" s="37" t="str">
        <f t="shared" si="1"/>
        <v/>
      </c>
    </row>
    <row r="358">
      <c r="A358" s="28"/>
      <c r="C358" s="30"/>
      <c r="D358" s="31"/>
      <c r="E358" s="32"/>
      <c r="F358" s="34"/>
      <c r="G358" s="35"/>
      <c r="H358" s="37" t="str">
        <f t="shared" si="1"/>
        <v/>
      </c>
    </row>
    <row r="359">
      <c r="A359" s="28"/>
      <c r="C359" s="30"/>
      <c r="D359" s="31"/>
      <c r="E359" s="32"/>
      <c r="F359" s="34"/>
      <c r="G359" s="35"/>
      <c r="H359" s="37" t="str">
        <f t="shared" si="1"/>
        <v/>
      </c>
    </row>
    <row r="360">
      <c r="A360" s="28"/>
      <c r="C360" s="30"/>
      <c r="D360" s="31"/>
      <c r="E360" s="32"/>
      <c r="F360" s="34"/>
      <c r="G360" s="35"/>
      <c r="H360" s="37" t="str">
        <f t="shared" si="1"/>
        <v/>
      </c>
    </row>
    <row r="361">
      <c r="A361" s="28"/>
      <c r="C361" s="30"/>
      <c r="D361" s="31"/>
      <c r="E361" s="32"/>
      <c r="F361" s="34"/>
      <c r="G361" s="35"/>
      <c r="H361" s="37" t="str">
        <f t="shared" si="1"/>
        <v/>
      </c>
    </row>
    <row r="362">
      <c r="A362" s="28"/>
      <c r="C362" s="30"/>
      <c r="D362" s="31"/>
      <c r="E362" s="32"/>
      <c r="F362" s="34"/>
      <c r="G362" s="35"/>
      <c r="H362" s="37" t="str">
        <f t="shared" si="1"/>
        <v/>
      </c>
    </row>
    <row r="363">
      <c r="A363" s="28"/>
      <c r="C363" s="30"/>
      <c r="D363" s="31"/>
      <c r="E363" s="32"/>
      <c r="F363" s="34"/>
      <c r="G363" s="35"/>
      <c r="H363" s="37" t="str">
        <f t="shared" si="1"/>
        <v/>
      </c>
    </row>
    <row r="364">
      <c r="A364" s="28"/>
      <c r="C364" s="30"/>
      <c r="D364" s="31"/>
      <c r="E364" s="32"/>
      <c r="F364" s="34"/>
      <c r="G364" s="35"/>
      <c r="H364" s="37" t="str">
        <f t="shared" si="1"/>
        <v/>
      </c>
    </row>
    <row r="365">
      <c r="A365" s="28"/>
      <c r="C365" s="30"/>
      <c r="D365" s="31"/>
      <c r="E365" s="32"/>
      <c r="F365" s="34"/>
      <c r="G365" s="35"/>
      <c r="H365" s="37" t="str">
        <f t="shared" si="1"/>
        <v/>
      </c>
    </row>
    <row r="366">
      <c r="A366" s="28"/>
      <c r="C366" s="30"/>
      <c r="D366" s="31"/>
      <c r="E366" s="32"/>
      <c r="F366" s="34"/>
      <c r="G366" s="35"/>
      <c r="H366" s="37" t="str">
        <f t="shared" si="1"/>
        <v/>
      </c>
    </row>
    <row r="367">
      <c r="A367" s="28"/>
      <c r="C367" s="30"/>
      <c r="D367" s="31"/>
      <c r="E367" s="32"/>
      <c r="F367" s="34"/>
      <c r="G367" s="35"/>
      <c r="H367" s="37" t="str">
        <f t="shared" si="1"/>
        <v/>
      </c>
    </row>
    <row r="368">
      <c r="A368" s="28"/>
      <c r="C368" s="30"/>
      <c r="D368" s="31"/>
      <c r="E368" s="32"/>
      <c r="F368" s="34"/>
      <c r="G368" s="35"/>
      <c r="H368" s="37" t="str">
        <f t="shared" si="1"/>
        <v/>
      </c>
    </row>
    <row r="369">
      <c r="A369" s="28"/>
      <c r="C369" s="30"/>
      <c r="D369" s="31"/>
      <c r="E369" s="32"/>
      <c r="F369" s="34"/>
      <c r="G369" s="35"/>
      <c r="H369" s="37" t="str">
        <f t="shared" si="1"/>
        <v/>
      </c>
    </row>
    <row r="370">
      <c r="A370" s="28"/>
      <c r="C370" s="30"/>
      <c r="D370" s="31"/>
      <c r="E370" s="32"/>
      <c r="F370" s="34"/>
      <c r="G370" s="35"/>
      <c r="H370" s="37" t="str">
        <f t="shared" si="1"/>
        <v/>
      </c>
    </row>
    <row r="371">
      <c r="A371" s="28"/>
      <c r="C371" s="30"/>
      <c r="D371" s="31"/>
      <c r="E371" s="32"/>
      <c r="F371" s="34"/>
      <c r="G371" s="35"/>
      <c r="H371" s="37" t="str">
        <f t="shared" si="1"/>
        <v/>
      </c>
    </row>
    <row r="372">
      <c r="A372" s="28"/>
      <c r="C372" s="30"/>
      <c r="D372" s="31"/>
      <c r="E372" s="32"/>
      <c r="F372" s="34"/>
      <c r="G372" s="35"/>
      <c r="H372" s="37" t="str">
        <f t="shared" si="1"/>
        <v/>
      </c>
    </row>
    <row r="373">
      <c r="A373" s="28"/>
      <c r="C373" s="30"/>
      <c r="D373" s="31"/>
      <c r="E373" s="32"/>
      <c r="F373" s="34"/>
      <c r="G373" s="35"/>
      <c r="H373" s="37" t="str">
        <f t="shared" si="1"/>
        <v/>
      </c>
    </row>
    <row r="374">
      <c r="A374" s="28"/>
      <c r="C374" s="30"/>
      <c r="D374" s="31"/>
      <c r="E374" s="32"/>
      <c r="F374" s="34"/>
      <c r="G374" s="35"/>
      <c r="H374" s="37" t="str">
        <f t="shared" si="1"/>
        <v/>
      </c>
    </row>
    <row r="375">
      <c r="A375" s="28"/>
      <c r="C375" s="30"/>
      <c r="D375" s="31"/>
      <c r="E375" s="32"/>
      <c r="F375" s="34"/>
      <c r="G375" s="35"/>
      <c r="H375" s="37" t="str">
        <f t="shared" si="1"/>
        <v/>
      </c>
    </row>
    <row r="376">
      <c r="A376" s="28"/>
      <c r="C376" s="30"/>
      <c r="D376" s="31"/>
      <c r="E376" s="32"/>
      <c r="F376" s="34"/>
      <c r="G376" s="35"/>
      <c r="H376" s="37" t="str">
        <f t="shared" si="1"/>
        <v/>
      </c>
    </row>
    <row r="377">
      <c r="A377" s="28"/>
      <c r="C377" s="30"/>
      <c r="D377" s="31"/>
      <c r="E377" s="32"/>
      <c r="F377" s="34"/>
      <c r="G377" s="35"/>
      <c r="H377" s="37" t="str">
        <f t="shared" si="1"/>
        <v/>
      </c>
    </row>
    <row r="378">
      <c r="A378" s="28"/>
      <c r="C378" s="30"/>
      <c r="D378" s="31"/>
      <c r="E378" s="32"/>
      <c r="F378" s="34"/>
      <c r="G378" s="35"/>
      <c r="H378" s="37" t="str">
        <f t="shared" si="1"/>
        <v/>
      </c>
    </row>
    <row r="379">
      <c r="A379" s="28"/>
      <c r="C379" s="30"/>
      <c r="D379" s="31"/>
      <c r="E379" s="32"/>
      <c r="F379" s="34"/>
      <c r="G379" s="35"/>
      <c r="H379" s="37" t="str">
        <f t="shared" si="1"/>
        <v/>
      </c>
    </row>
    <row r="380">
      <c r="A380" s="28"/>
      <c r="C380" s="30"/>
      <c r="D380" s="31"/>
      <c r="E380" s="32"/>
      <c r="F380" s="34"/>
      <c r="G380" s="35"/>
      <c r="H380" s="37" t="str">
        <f t="shared" si="1"/>
        <v/>
      </c>
    </row>
    <row r="381">
      <c r="A381" s="28"/>
      <c r="C381" s="30"/>
      <c r="D381" s="31"/>
      <c r="E381" s="32"/>
      <c r="F381" s="34"/>
      <c r="G381" s="35"/>
      <c r="H381" s="37" t="str">
        <f t="shared" si="1"/>
        <v/>
      </c>
    </row>
    <row r="382">
      <c r="A382" s="28"/>
      <c r="C382" s="30"/>
      <c r="D382" s="31"/>
      <c r="E382" s="32"/>
      <c r="F382" s="34"/>
      <c r="G382" s="35"/>
      <c r="H382" s="37" t="str">
        <f t="shared" si="1"/>
        <v/>
      </c>
    </row>
    <row r="383">
      <c r="A383" s="28"/>
      <c r="C383" s="30"/>
      <c r="D383" s="31"/>
      <c r="E383" s="32"/>
      <c r="F383" s="34"/>
      <c r="G383" s="35"/>
      <c r="H383" s="37" t="str">
        <f t="shared" si="1"/>
        <v/>
      </c>
    </row>
    <row r="384">
      <c r="A384" s="28"/>
      <c r="C384" s="30"/>
      <c r="D384" s="31"/>
      <c r="E384" s="32"/>
      <c r="F384" s="34"/>
      <c r="G384" s="35"/>
      <c r="H384" s="37" t="str">
        <f t="shared" si="1"/>
        <v/>
      </c>
    </row>
    <row r="385">
      <c r="A385" s="28"/>
      <c r="C385" s="30"/>
      <c r="D385" s="31"/>
      <c r="E385" s="32"/>
      <c r="F385" s="34"/>
      <c r="G385" s="35"/>
      <c r="H385" s="37" t="str">
        <f t="shared" si="1"/>
        <v/>
      </c>
    </row>
    <row r="386">
      <c r="A386" s="28"/>
      <c r="C386" s="30"/>
      <c r="D386" s="31"/>
      <c r="E386" s="32"/>
      <c r="F386" s="34"/>
      <c r="G386" s="35"/>
      <c r="H386" s="37" t="str">
        <f t="shared" si="1"/>
        <v/>
      </c>
    </row>
    <row r="387">
      <c r="A387" s="28"/>
      <c r="C387" s="30"/>
      <c r="D387" s="31"/>
      <c r="E387" s="32"/>
      <c r="F387" s="34"/>
      <c r="G387" s="35"/>
      <c r="H387" s="37" t="str">
        <f t="shared" si="1"/>
        <v/>
      </c>
    </row>
    <row r="388">
      <c r="A388" s="28"/>
      <c r="C388" s="30"/>
      <c r="D388" s="31"/>
      <c r="E388" s="32"/>
      <c r="F388" s="34"/>
      <c r="G388" s="35"/>
      <c r="H388" s="37" t="str">
        <f t="shared" si="1"/>
        <v/>
      </c>
    </row>
    <row r="389">
      <c r="A389" s="28"/>
      <c r="C389" s="30"/>
      <c r="D389" s="31"/>
      <c r="E389" s="32"/>
      <c r="F389" s="34"/>
      <c r="G389" s="35"/>
      <c r="H389" s="37" t="str">
        <f t="shared" si="1"/>
        <v/>
      </c>
    </row>
    <row r="390">
      <c r="A390" s="28"/>
      <c r="C390" s="30"/>
      <c r="D390" s="31"/>
      <c r="E390" s="32"/>
      <c r="F390" s="34"/>
      <c r="G390" s="35"/>
      <c r="H390" s="37" t="str">
        <f t="shared" si="1"/>
        <v/>
      </c>
    </row>
    <row r="391">
      <c r="A391" s="28"/>
      <c r="C391" s="30"/>
      <c r="D391" s="31"/>
      <c r="E391" s="32"/>
      <c r="F391" s="34"/>
      <c r="G391" s="35"/>
      <c r="H391" s="37" t="str">
        <f t="shared" si="1"/>
        <v/>
      </c>
    </row>
    <row r="392">
      <c r="A392" s="28"/>
      <c r="C392" s="30"/>
      <c r="D392" s="31"/>
      <c r="E392" s="32"/>
      <c r="F392" s="34"/>
      <c r="G392" s="35"/>
      <c r="H392" s="37" t="str">
        <f t="shared" si="1"/>
        <v/>
      </c>
    </row>
    <row r="393">
      <c r="A393" s="28"/>
      <c r="C393" s="30"/>
      <c r="D393" s="31"/>
      <c r="E393" s="32"/>
      <c r="F393" s="34"/>
      <c r="G393" s="35"/>
      <c r="H393" s="37" t="str">
        <f t="shared" si="1"/>
        <v/>
      </c>
    </row>
    <row r="394">
      <c r="A394" s="28"/>
      <c r="C394" s="30"/>
      <c r="D394" s="31"/>
      <c r="E394" s="32"/>
      <c r="F394" s="34"/>
      <c r="G394" s="35"/>
      <c r="H394" s="37" t="str">
        <f t="shared" si="1"/>
        <v/>
      </c>
    </row>
    <row r="395">
      <c r="A395" s="28"/>
      <c r="C395" s="30"/>
      <c r="D395" s="31"/>
      <c r="E395" s="32"/>
      <c r="F395" s="34"/>
      <c r="G395" s="35"/>
      <c r="H395" s="37" t="str">
        <f t="shared" si="1"/>
        <v/>
      </c>
    </row>
    <row r="396">
      <c r="A396" s="28"/>
      <c r="C396" s="30"/>
      <c r="D396" s="31"/>
      <c r="E396" s="32"/>
      <c r="F396" s="34"/>
      <c r="G396" s="35"/>
      <c r="H396" s="37" t="str">
        <f t="shared" si="1"/>
        <v/>
      </c>
    </row>
    <row r="397">
      <c r="A397" s="28"/>
      <c r="C397" s="30"/>
      <c r="D397" s="31"/>
      <c r="E397" s="32"/>
      <c r="F397" s="34"/>
      <c r="G397" s="35"/>
      <c r="H397" s="37" t="str">
        <f t="shared" si="1"/>
        <v/>
      </c>
    </row>
    <row r="398">
      <c r="A398" s="28"/>
      <c r="C398" s="30"/>
      <c r="D398" s="31"/>
      <c r="E398" s="32"/>
      <c r="F398" s="34"/>
      <c r="G398" s="35"/>
      <c r="H398" s="37" t="str">
        <f t="shared" si="1"/>
        <v/>
      </c>
    </row>
    <row r="399">
      <c r="A399" s="28"/>
      <c r="C399" s="30"/>
      <c r="D399" s="31"/>
      <c r="E399" s="32"/>
      <c r="F399" s="34"/>
      <c r="G399" s="35"/>
      <c r="H399" s="37" t="str">
        <f t="shared" si="1"/>
        <v/>
      </c>
    </row>
    <row r="400">
      <c r="A400" s="28"/>
      <c r="C400" s="30"/>
      <c r="D400" s="31"/>
      <c r="E400" s="32"/>
      <c r="F400" s="34"/>
      <c r="G400" s="35"/>
      <c r="H400" s="37" t="str">
        <f t="shared" si="1"/>
        <v/>
      </c>
    </row>
    <row r="401">
      <c r="A401" s="28"/>
      <c r="C401" s="30"/>
      <c r="D401" s="31"/>
      <c r="E401" s="32"/>
      <c r="F401" s="34"/>
      <c r="G401" s="35"/>
      <c r="H401" s="37" t="str">
        <f t="shared" si="1"/>
        <v/>
      </c>
    </row>
    <row r="402">
      <c r="A402" s="28"/>
      <c r="C402" s="30"/>
      <c r="D402" s="31"/>
      <c r="E402" s="32"/>
      <c r="F402" s="34"/>
      <c r="G402" s="35"/>
      <c r="H402" s="37" t="str">
        <f t="shared" si="1"/>
        <v/>
      </c>
    </row>
    <row r="403">
      <c r="A403" s="28"/>
      <c r="C403" s="30"/>
      <c r="D403" s="31"/>
      <c r="E403" s="32"/>
      <c r="F403" s="34"/>
      <c r="G403" s="35"/>
      <c r="H403" s="37" t="str">
        <f t="shared" si="1"/>
        <v/>
      </c>
    </row>
    <row r="404">
      <c r="A404" s="28"/>
      <c r="C404" s="30"/>
      <c r="D404" s="31"/>
      <c r="E404" s="32"/>
      <c r="F404" s="34"/>
      <c r="G404" s="35"/>
      <c r="H404" s="37" t="str">
        <f t="shared" si="1"/>
        <v/>
      </c>
    </row>
    <row r="405">
      <c r="A405" s="28"/>
      <c r="C405" s="30"/>
      <c r="D405" s="31"/>
      <c r="E405" s="32"/>
      <c r="F405" s="34"/>
      <c r="G405" s="35"/>
      <c r="H405" s="37" t="str">
        <f t="shared" si="1"/>
        <v/>
      </c>
    </row>
    <row r="406">
      <c r="A406" s="28"/>
      <c r="C406" s="30"/>
      <c r="D406" s="31"/>
      <c r="E406" s="32"/>
      <c r="F406" s="34"/>
      <c r="G406" s="35"/>
      <c r="H406" s="37" t="str">
        <f t="shared" si="1"/>
        <v/>
      </c>
    </row>
    <row r="407">
      <c r="A407" s="28"/>
      <c r="C407" s="30"/>
      <c r="D407" s="31"/>
      <c r="E407" s="32"/>
      <c r="F407" s="34"/>
      <c r="G407" s="35"/>
      <c r="H407" s="37" t="str">
        <f t="shared" si="1"/>
        <v/>
      </c>
    </row>
    <row r="408">
      <c r="A408" s="28"/>
      <c r="C408" s="30"/>
      <c r="D408" s="31"/>
      <c r="E408" s="32"/>
      <c r="F408" s="34"/>
      <c r="G408" s="35"/>
      <c r="H408" s="37" t="str">
        <f t="shared" si="1"/>
        <v/>
      </c>
    </row>
    <row r="409">
      <c r="A409" s="28"/>
      <c r="C409" s="30"/>
      <c r="D409" s="31"/>
      <c r="E409" s="32"/>
      <c r="F409" s="34"/>
      <c r="G409" s="35"/>
      <c r="H409" s="37" t="str">
        <f t="shared" si="1"/>
        <v/>
      </c>
    </row>
    <row r="410">
      <c r="A410" s="28"/>
      <c r="C410" s="30"/>
      <c r="D410" s="31"/>
      <c r="E410" s="32"/>
      <c r="F410" s="34"/>
      <c r="G410" s="35"/>
      <c r="H410" s="37" t="str">
        <f t="shared" si="1"/>
        <v/>
      </c>
    </row>
    <row r="411">
      <c r="A411" s="28"/>
      <c r="C411" s="30"/>
      <c r="D411" s="31"/>
      <c r="E411" s="32"/>
      <c r="F411" s="34"/>
      <c r="G411" s="35"/>
      <c r="H411" s="37" t="str">
        <f t="shared" si="1"/>
        <v/>
      </c>
    </row>
    <row r="412">
      <c r="A412" s="28"/>
      <c r="C412" s="30"/>
      <c r="D412" s="31"/>
      <c r="E412" s="32"/>
      <c r="F412" s="34"/>
      <c r="G412" s="35"/>
      <c r="H412" s="37" t="str">
        <f t="shared" si="1"/>
        <v/>
      </c>
    </row>
    <row r="413">
      <c r="A413" s="28"/>
      <c r="C413" s="30"/>
      <c r="D413" s="31"/>
      <c r="E413" s="32"/>
      <c r="F413" s="34"/>
      <c r="G413" s="35"/>
      <c r="H413" s="37" t="str">
        <f t="shared" si="1"/>
        <v/>
      </c>
    </row>
    <row r="414">
      <c r="A414" s="28"/>
      <c r="C414" s="30"/>
      <c r="D414" s="31"/>
      <c r="E414" s="32"/>
      <c r="F414" s="34"/>
      <c r="G414" s="35"/>
      <c r="H414" s="37" t="str">
        <f t="shared" si="1"/>
        <v/>
      </c>
    </row>
    <row r="415">
      <c r="A415" s="28"/>
      <c r="C415" s="30"/>
      <c r="D415" s="31"/>
      <c r="E415" s="32"/>
      <c r="F415" s="34"/>
      <c r="G415" s="35"/>
      <c r="H415" s="37" t="str">
        <f t="shared" si="1"/>
        <v/>
      </c>
    </row>
    <row r="416">
      <c r="A416" s="28"/>
      <c r="C416" s="30"/>
      <c r="D416" s="31"/>
      <c r="E416" s="32"/>
      <c r="F416" s="34"/>
      <c r="G416" s="35"/>
      <c r="H416" s="37" t="str">
        <f t="shared" si="1"/>
        <v/>
      </c>
    </row>
    <row r="417">
      <c r="A417" s="28"/>
      <c r="C417" s="30"/>
      <c r="D417" s="31"/>
      <c r="E417" s="32"/>
      <c r="F417" s="34"/>
      <c r="G417" s="35"/>
      <c r="H417" s="37" t="str">
        <f t="shared" si="1"/>
        <v/>
      </c>
    </row>
    <row r="418">
      <c r="A418" s="28"/>
      <c r="C418" s="30"/>
      <c r="D418" s="31"/>
      <c r="E418" s="32"/>
      <c r="F418" s="34"/>
      <c r="G418" s="35"/>
      <c r="H418" s="37" t="str">
        <f t="shared" si="1"/>
        <v/>
      </c>
    </row>
    <row r="419">
      <c r="A419" s="28"/>
      <c r="C419" s="30"/>
      <c r="D419" s="31"/>
      <c r="E419" s="32"/>
      <c r="F419" s="34"/>
      <c r="G419" s="35"/>
      <c r="H419" s="37" t="str">
        <f t="shared" si="1"/>
        <v/>
      </c>
    </row>
    <row r="420">
      <c r="A420" s="28"/>
      <c r="C420" s="30"/>
      <c r="D420" s="31"/>
      <c r="E420" s="32"/>
      <c r="F420" s="34"/>
      <c r="G420" s="35"/>
      <c r="H420" s="37" t="str">
        <f t="shared" si="1"/>
        <v/>
      </c>
    </row>
    <row r="421">
      <c r="A421" s="28"/>
      <c r="C421" s="30"/>
      <c r="D421" s="31"/>
      <c r="E421" s="32"/>
      <c r="F421" s="34"/>
      <c r="G421" s="35"/>
      <c r="H421" s="37" t="str">
        <f t="shared" si="1"/>
        <v/>
      </c>
    </row>
    <row r="422">
      <c r="A422" s="28"/>
      <c r="C422" s="30"/>
      <c r="D422" s="31"/>
      <c r="E422" s="32"/>
      <c r="F422" s="34"/>
      <c r="G422" s="35"/>
      <c r="H422" s="37" t="str">
        <f t="shared" si="1"/>
        <v/>
      </c>
    </row>
    <row r="423">
      <c r="A423" s="28"/>
      <c r="C423" s="30"/>
      <c r="D423" s="31"/>
      <c r="E423" s="32"/>
      <c r="F423" s="34"/>
      <c r="G423" s="35"/>
      <c r="H423" s="37" t="str">
        <f t="shared" si="1"/>
        <v/>
      </c>
    </row>
    <row r="424">
      <c r="A424" s="28"/>
      <c r="C424" s="30"/>
      <c r="D424" s="31"/>
      <c r="E424" s="32"/>
      <c r="F424" s="34"/>
      <c r="G424" s="35"/>
      <c r="H424" s="37" t="str">
        <f t="shared" si="1"/>
        <v/>
      </c>
    </row>
    <row r="425">
      <c r="A425" s="28"/>
      <c r="C425" s="30"/>
      <c r="D425" s="31"/>
      <c r="E425" s="32"/>
      <c r="F425" s="34"/>
      <c r="G425" s="35"/>
      <c r="H425" s="37" t="str">
        <f t="shared" si="1"/>
        <v/>
      </c>
    </row>
    <row r="426">
      <c r="A426" s="28"/>
      <c r="C426" s="30"/>
      <c r="D426" s="31"/>
      <c r="E426" s="32"/>
      <c r="F426" s="34"/>
      <c r="G426" s="35"/>
      <c r="H426" s="37" t="str">
        <f t="shared" si="1"/>
        <v/>
      </c>
    </row>
    <row r="427">
      <c r="A427" s="28"/>
      <c r="C427" s="30"/>
      <c r="D427" s="31"/>
      <c r="E427" s="32"/>
      <c r="F427" s="34"/>
      <c r="G427" s="35"/>
      <c r="H427" s="37" t="str">
        <f t="shared" si="1"/>
        <v/>
      </c>
    </row>
    <row r="428">
      <c r="A428" s="28"/>
      <c r="C428" s="30"/>
      <c r="D428" s="31"/>
      <c r="E428" s="32"/>
      <c r="F428" s="34"/>
      <c r="G428" s="35"/>
      <c r="H428" s="37" t="str">
        <f t="shared" si="1"/>
        <v/>
      </c>
    </row>
    <row r="429">
      <c r="A429" s="28"/>
      <c r="C429" s="30"/>
      <c r="D429" s="31"/>
      <c r="E429" s="32"/>
      <c r="F429" s="34"/>
      <c r="G429" s="35"/>
      <c r="H429" s="37" t="str">
        <f t="shared" si="1"/>
        <v/>
      </c>
    </row>
    <row r="430">
      <c r="A430" s="28"/>
      <c r="C430" s="30"/>
      <c r="D430" s="31"/>
      <c r="E430" s="32"/>
      <c r="F430" s="34"/>
      <c r="G430" s="35"/>
      <c r="H430" s="37" t="str">
        <f t="shared" si="1"/>
        <v/>
      </c>
    </row>
    <row r="431">
      <c r="A431" s="28"/>
      <c r="C431" s="30"/>
      <c r="D431" s="31"/>
      <c r="E431" s="32"/>
      <c r="F431" s="34"/>
      <c r="G431" s="35"/>
      <c r="H431" s="37" t="str">
        <f t="shared" si="1"/>
        <v/>
      </c>
    </row>
    <row r="432">
      <c r="A432" s="28"/>
      <c r="C432" s="30"/>
      <c r="D432" s="31"/>
      <c r="E432" s="32"/>
      <c r="F432" s="34"/>
      <c r="G432" s="35"/>
      <c r="H432" s="37" t="str">
        <f t="shared" si="1"/>
        <v/>
      </c>
    </row>
    <row r="433">
      <c r="A433" s="28"/>
      <c r="C433" s="30"/>
      <c r="D433" s="31"/>
      <c r="E433" s="32"/>
      <c r="F433" s="34"/>
      <c r="G433" s="35"/>
      <c r="H433" s="37" t="str">
        <f t="shared" si="1"/>
        <v/>
      </c>
    </row>
    <row r="434">
      <c r="A434" s="28"/>
      <c r="C434" s="30"/>
      <c r="D434" s="31"/>
      <c r="E434" s="32"/>
      <c r="F434" s="34"/>
      <c r="G434" s="35"/>
      <c r="H434" s="37" t="str">
        <f t="shared" si="1"/>
        <v/>
      </c>
    </row>
    <row r="435">
      <c r="A435" s="28"/>
      <c r="C435" s="30"/>
      <c r="D435" s="31"/>
      <c r="E435" s="32"/>
      <c r="F435" s="34"/>
      <c r="G435" s="35"/>
      <c r="H435" s="37" t="str">
        <f t="shared" si="1"/>
        <v/>
      </c>
    </row>
    <row r="436">
      <c r="A436" s="28"/>
      <c r="C436" s="30"/>
      <c r="D436" s="31"/>
      <c r="E436" s="32"/>
      <c r="F436" s="34"/>
      <c r="G436" s="35"/>
      <c r="H436" s="37" t="str">
        <f t="shared" si="1"/>
        <v/>
      </c>
    </row>
    <row r="437">
      <c r="A437" s="28"/>
      <c r="C437" s="30"/>
      <c r="D437" s="31"/>
      <c r="E437" s="32"/>
      <c r="F437" s="34"/>
      <c r="G437" s="35"/>
      <c r="H437" s="37" t="str">
        <f t="shared" si="1"/>
        <v/>
      </c>
    </row>
    <row r="438">
      <c r="A438" s="28"/>
      <c r="C438" s="30"/>
      <c r="D438" s="31"/>
      <c r="E438" s="32"/>
      <c r="F438" s="34"/>
      <c r="G438" s="35"/>
      <c r="H438" s="37" t="str">
        <f t="shared" si="1"/>
        <v/>
      </c>
    </row>
    <row r="439">
      <c r="A439" s="28"/>
      <c r="C439" s="30"/>
      <c r="D439" s="31"/>
      <c r="E439" s="32"/>
      <c r="F439" s="34"/>
      <c r="G439" s="35"/>
      <c r="H439" s="37" t="str">
        <f t="shared" si="1"/>
        <v/>
      </c>
    </row>
    <row r="440">
      <c r="A440" s="28"/>
      <c r="C440" s="30"/>
      <c r="D440" s="31"/>
      <c r="E440" s="32"/>
      <c r="F440" s="34"/>
      <c r="G440" s="35"/>
      <c r="H440" s="37" t="str">
        <f t="shared" si="1"/>
        <v/>
      </c>
    </row>
    <row r="441">
      <c r="A441" s="28"/>
      <c r="C441" s="30"/>
      <c r="D441" s="31"/>
      <c r="E441" s="32"/>
      <c r="F441" s="34"/>
      <c r="G441" s="35"/>
      <c r="H441" s="37" t="str">
        <f t="shared" si="1"/>
        <v/>
      </c>
    </row>
    <row r="442">
      <c r="A442" s="28"/>
      <c r="C442" s="30"/>
      <c r="D442" s="31"/>
      <c r="E442" s="32"/>
      <c r="F442" s="34"/>
      <c r="G442" s="35"/>
      <c r="H442" s="37" t="str">
        <f t="shared" si="1"/>
        <v/>
      </c>
    </row>
    <row r="443">
      <c r="A443" s="28"/>
      <c r="C443" s="30"/>
      <c r="D443" s="31"/>
      <c r="E443" s="32"/>
      <c r="F443" s="34"/>
      <c r="G443" s="35"/>
      <c r="H443" s="37" t="str">
        <f t="shared" si="1"/>
        <v/>
      </c>
    </row>
    <row r="444">
      <c r="A444" s="28"/>
      <c r="C444" s="30"/>
      <c r="D444" s="31"/>
      <c r="E444" s="32"/>
      <c r="F444" s="34"/>
      <c r="G444" s="35"/>
      <c r="H444" s="37" t="str">
        <f t="shared" si="1"/>
        <v/>
      </c>
    </row>
    <row r="445">
      <c r="A445" s="28"/>
      <c r="C445" s="30"/>
      <c r="D445" s="31"/>
      <c r="E445" s="32"/>
      <c r="F445" s="34"/>
      <c r="G445" s="35"/>
      <c r="H445" s="37" t="str">
        <f t="shared" si="1"/>
        <v/>
      </c>
    </row>
    <row r="446">
      <c r="A446" s="28"/>
      <c r="C446" s="30"/>
      <c r="D446" s="31"/>
      <c r="E446" s="32"/>
      <c r="F446" s="34"/>
      <c r="G446" s="35"/>
      <c r="H446" s="37" t="str">
        <f t="shared" si="1"/>
        <v/>
      </c>
    </row>
    <row r="447">
      <c r="A447" s="28"/>
      <c r="C447" s="30"/>
      <c r="D447" s="31"/>
      <c r="E447" s="32"/>
      <c r="F447" s="34"/>
      <c r="G447" s="35"/>
      <c r="H447" s="37" t="str">
        <f t="shared" si="1"/>
        <v/>
      </c>
    </row>
    <row r="448">
      <c r="A448" s="28"/>
      <c r="C448" s="30"/>
      <c r="D448" s="31"/>
      <c r="E448" s="32"/>
      <c r="F448" s="34"/>
      <c r="G448" s="35"/>
      <c r="H448" s="37" t="str">
        <f t="shared" si="1"/>
        <v/>
      </c>
    </row>
    <row r="449">
      <c r="A449" s="28"/>
      <c r="C449" s="30"/>
      <c r="D449" s="31"/>
      <c r="E449" s="32"/>
      <c r="F449" s="34"/>
      <c r="G449" s="35"/>
      <c r="H449" s="37" t="str">
        <f t="shared" si="1"/>
        <v/>
      </c>
    </row>
    <row r="450">
      <c r="A450" s="28"/>
      <c r="C450" s="30"/>
      <c r="D450" s="31"/>
      <c r="E450" s="32"/>
      <c r="F450" s="34"/>
      <c r="G450" s="35"/>
      <c r="H450" s="37" t="str">
        <f t="shared" si="1"/>
        <v/>
      </c>
    </row>
    <row r="451">
      <c r="A451" s="28"/>
      <c r="C451" s="30"/>
      <c r="D451" s="31"/>
      <c r="E451" s="32"/>
      <c r="F451" s="34"/>
      <c r="G451" s="35"/>
      <c r="H451" s="37" t="str">
        <f t="shared" si="1"/>
        <v/>
      </c>
    </row>
    <row r="452">
      <c r="A452" s="28"/>
      <c r="C452" s="30"/>
      <c r="D452" s="31"/>
      <c r="E452" s="32"/>
      <c r="F452" s="34"/>
      <c r="G452" s="35"/>
      <c r="H452" s="37" t="str">
        <f t="shared" si="1"/>
        <v/>
      </c>
    </row>
    <row r="453">
      <c r="A453" s="28"/>
      <c r="C453" s="30"/>
      <c r="D453" s="31"/>
      <c r="E453" s="32"/>
      <c r="F453" s="34"/>
      <c r="G453" s="35"/>
      <c r="H453" s="37" t="str">
        <f t="shared" si="1"/>
        <v/>
      </c>
    </row>
    <row r="454">
      <c r="A454" s="28"/>
      <c r="C454" s="30"/>
      <c r="D454" s="31"/>
      <c r="E454" s="32"/>
      <c r="F454" s="34"/>
      <c r="G454" s="35"/>
      <c r="H454" s="37" t="str">
        <f t="shared" si="1"/>
        <v/>
      </c>
    </row>
    <row r="455">
      <c r="A455" s="28"/>
      <c r="C455" s="30"/>
      <c r="D455" s="31"/>
      <c r="E455" s="32"/>
      <c r="F455" s="34"/>
      <c r="G455" s="35"/>
      <c r="H455" s="37" t="str">
        <f t="shared" si="1"/>
        <v/>
      </c>
    </row>
    <row r="456">
      <c r="A456" s="28"/>
      <c r="C456" s="30"/>
      <c r="D456" s="31"/>
      <c r="E456" s="32"/>
      <c r="F456" s="34"/>
      <c r="G456" s="35"/>
      <c r="H456" s="37" t="str">
        <f t="shared" si="1"/>
        <v/>
      </c>
    </row>
    <row r="457">
      <c r="A457" s="28"/>
      <c r="C457" s="30"/>
      <c r="D457" s="31"/>
      <c r="E457" s="32"/>
      <c r="F457" s="34"/>
      <c r="G457" s="35"/>
      <c r="H457" s="37" t="str">
        <f t="shared" si="1"/>
        <v/>
      </c>
    </row>
    <row r="458">
      <c r="A458" s="28"/>
      <c r="C458" s="30"/>
      <c r="D458" s="31"/>
      <c r="E458" s="32"/>
      <c r="F458" s="34"/>
      <c r="G458" s="35"/>
      <c r="H458" s="37" t="str">
        <f t="shared" si="1"/>
        <v/>
      </c>
    </row>
    <row r="459">
      <c r="A459" s="28"/>
      <c r="C459" s="30"/>
      <c r="D459" s="31"/>
      <c r="E459" s="32"/>
      <c r="F459" s="34"/>
      <c r="G459" s="35"/>
      <c r="H459" s="37" t="str">
        <f t="shared" si="1"/>
        <v/>
      </c>
    </row>
    <row r="460">
      <c r="A460" s="28"/>
      <c r="C460" s="30"/>
      <c r="D460" s="31"/>
      <c r="E460" s="32"/>
      <c r="F460" s="34"/>
      <c r="G460" s="35"/>
      <c r="H460" s="37" t="str">
        <f t="shared" si="1"/>
        <v/>
      </c>
    </row>
    <row r="461">
      <c r="A461" s="28"/>
      <c r="C461" s="30"/>
      <c r="D461" s="31"/>
      <c r="E461" s="32"/>
      <c r="F461" s="34"/>
      <c r="G461" s="35"/>
      <c r="H461" s="37" t="str">
        <f t="shared" si="1"/>
        <v/>
      </c>
    </row>
    <row r="462">
      <c r="A462" s="28"/>
      <c r="C462" s="30"/>
      <c r="D462" s="31"/>
      <c r="E462" s="32"/>
      <c r="F462" s="34"/>
      <c r="G462" s="35"/>
      <c r="H462" s="37" t="str">
        <f t="shared" si="1"/>
        <v/>
      </c>
    </row>
    <row r="463">
      <c r="A463" s="28"/>
      <c r="C463" s="30"/>
      <c r="D463" s="31"/>
      <c r="E463" s="32"/>
      <c r="F463" s="34"/>
      <c r="G463" s="35"/>
      <c r="H463" s="37" t="str">
        <f t="shared" si="1"/>
        <v/>
      </c>
    </row>
    <row r="464">
      <c r="A464" s="28"/>
      <c r="C464" s="30"/>
      <c r="D464" s="31"/>
      <c r="E464" s="32"/>
      <c r="F464" s="34"/>
      <c r="G464" s="35"/>
      <c r="H464" s="37" t="str">
        <f t="shared" si="1"/>
        <v/>
      </c>
    </row>
    <row r="465">
      <c r="A465" s="28"/>
      <c r="C465" s="30"/>
      <c r="D465" s="31"/>
      <c r="E465" s="32"/>
      <c r="F465" s="34"/>
      <c r="G465" s="35"/>
      <c r="H465" s="37" t="str">
        <f t="shared" si="1"/>
        <v/>
      </c>
    </row>
    <row r="466">
      <c r="A466" s="28"/>
      <c r="C466" s="30"/>
      <c r="D466" s="31"/>
      <c r="E466" s="32"/>
      <c r="F466" s="34"/>
      <c r="G466" s="35"/>
      <c r="H466" s="37" t="str">
        <f t="shared" si="1"/>
        <v/>
      </c>
    </row>
    <row r="467">
      <c r="A467" s="28"/>
      <c r="C467" s="30"/>
      <c r="D467" s="31"/>
      <c r="E467" s="32"/>
      <c r="F467" s="34"/>
      <c r="G467" s="35"/>
      <c r="H467" s="37" t="str">
        <f t="shared" si="1"/>
        <v/>
      </c>
    </row>
    <row r="468">
      <c r="A468" s="28"/>
      <c r="C468" s="30"/>
      <c r="D468" s="31"/>
      <c r="E468" s="32"/>
      <c r="F468" s="34"/>
      <c r="G468" s="35"/>
      <c r="H468" s="37" t="str">
        <f t="shared" si="1"/>
        <v/>
      </c>
    </row>
    <row r="469">
      <c r="A469" s="28"/>
      <c r="C469" s="30"/>
      <c r="D469" s="31"/>
      <c r="E469" s="32"/>
      <c r="F469" s="34"/>
      <c r="G469" s="35"/>
      <c r="H469" s="37" t="str">
        <f t="shared" si="1"/>
        <v/>
      </c>
    </row>
    <row r="470">
      <c r="A470" s="28"/>
      <c r="C470" s="30"/>
      <c r="D470" s="31"/>
      <c r="E470" s="32"/>
      <c r="F470" s="34"/>
      <c r="G470" s="35"/>
      <c r="H470" s="37" t="str">
        <f t="shared" si="1"/>
        <v/>
      </c>
    </row>
    <row r="471">
      <c r="A471" s="28"/>
      <c r="C471" s="30"/>
      <c r="D471" s="31"/>
      <c r="E471" s="32"/>
      <c r="F471" s="34"/>
      <c r="G471" s="35"/>
      <c r="H471" s="37" t="str">
        <f t="shared" si="1"/>
        <v/>
      </c>
    </row>
    <row r="472">
      <c r="A472" s="28"/>
      <c r="C472" s="30"/>
      <c r="D472" s="31"/>
      <c r="E472" s="32"/>
      <c r="F472" s="34"/>
      <c r="G472" s="35"/>
      <c r="H472" s="37" t="str">
        <f t="shared" si="1"/>
        <v/>
      </c>
    </row>
    <row r="473">
      <c r="A473" s="28"/>
      <c r="C473" s="30"/>
      <c r="D473" s="31"/>
      <c r="E473" s="32"/>
      <c r="F473" s="34"/>
      <c r="G473" s="35"/>
      <c r="H473" s="37" t="str">
        <f t="shared" si="1"/>
        <v/>
      </c>
    </row>
    <row r="474">
      <c r="A474" s="28"/>
      <c r="C474" s="30"/>
      <c r="D474" s="31"/>
      <c r="E474" s="32"/>
      <c r="F474" s="34"/>
      <c r="G474" s="35"/>
      <c r="H474" s="37" t="str">
        <f t="shared" si="1"/>
        <v/>
      </c>
    </row>
    <row r="475">
      <c r="A475" s="28"/>
      <c r="C475" s="30"/>
      <c r="D475" s="31"/>
      <c r="E475" s="32"/>
      <c r="F475" s="34"/>
      <c r="G475" s="35"/>
      <c r="H475" s="37" t="str">
        <f t="shared" si="1"/>
        <v/>
      </c>
    </row>
    <row r="476">
      <c r="A476" s="28"/>
      <c r="C476" s="30"/>
      <c r="D476" s="31"/>
      <c r="E476" s="32"/>
      <c r="F476" s="34"/>
      <c r="G476" s="35"/>
      <c r="H476" s="37" t="str">
        <f t="shared" si="1"/>
        <v/>
      </c>
    </row>
    <row r="477">
      <c r="A477" s="28"/>
      <c r="C477" s="30"/>
      <c r="D477" s="31"/>
      <c r="E477" s="32"/>
      <c r="F477" s="34"/>
      <c r="G477" s="35"/>
      <c r="H477" s="37" t="str">
        <f t="shared" si="1"/>
        <v/>
      </c>
    </row>
    <row r="478">
      <c r="A478" s="28"/>
      <c r="C478" s="30"/>
      <c r="D478" s="31"/>
      <c r="E478" s="32"/>
      <c r="F478" s="34"/>
      <c r="G478" s="35"/>
      <c r="H478" s="37" t="str">
        <f t="shared" si="1"/>
        <v/>
      </c>
    </row>
    <row r="479">
      <c r="A479" s="28"/>
      <c r="C479" s="30"/>
      <c r="D479" s="31"/>
      <c r="E479" s="32"/>
      <c r="F479" s="34"/>
      <c r="G479" s="35"/>
      <c r="H479" s="37" t="str">
        <f t="shared" si="1"/>
        <v/>
      </c>
    </row>
    <row r="480">
      <c r="A480" s="28"/>
      <c r="C480" s="30"/>
      <c r="D480" s="31"/>
      <c r="E480" s="32"/>
      <c r="F480" s="34"/>
      <c r="G480" s="35"/>
      <c r="H480" s="37" t="str">
        <f t="shared" si="1"/>
        <v/>
      </c>
    </row>
    <row r="481">
      <c r="A481" s="28"/>
      <c r="C481" s="30"/>
      <c r="D481" s="31"/>
      <c r="E481" s="32"/>
      <c r="F481" s="34"/>
      <c r="G481" s="35"/>
      <c r="H481" s="37" t="str">
        <f t="shared" si="1"/>
        <v/>
      </c>
    </row>
    <row r="482">
      <c r="A482" s="28"/>
      <c r="C482" s="30"/>
      <c r="D482" s="31"/>
      <c r="E482" s="32"/>
      <c r="F482" s="34"/>
      <c r="G482" s="35"/>
      <c r="H482" s="37" t="str">
        <f t="shared" si="1"/>
        <v/>
      </c>
    </row>
    <row r="483">
      <c r="A483" s="28"/>
      <c r="C483" s="30"/>
      <c r="D483" s="31"/>
      <c r="E483" s="32"/>
      <c r="F483" s="34"/>
      <c r="G483" s="35"/>
      <c r="H483" s="37" t="str">
        <f t="shared" si="1"/>
        <v/>
      </c>
    </row>
    <row r="484">
      <c r="A484" s="28"/>
      <c r="C484" s="30"/>
      <c r="D484" s="31"/>
      <c r="E484" s="32"/>
      <c r="F484" s="34"/>
      <c r="G484" s="35"/>
      <c r="H484" s="37" t="str">
        <f t="shared" si="1"/>
        <v/>
      </c>
    </row>
    <row r="485">
      <c r="A485" s="28"/>
      <c r="C485" s="30"/>
      <c r="D485" s="31"/>
      <c r="E485" s="32"/>
      <c r="F485" s="34"/>
      <c r="G485" s="35"/>
      <c r="H485" s="37" t="str">
        <f t="shared" si="1"/>
        <v/>
      </c>
    </row>
    <row r="486">
      <c r="A486" s="28"/>
      <c r="C486" s="30"/>
      <c r="D486" s="31"/>
      <c r="E486" s="32"/>
      <c r="F486" s="34"/>
      <c r="G486" s="35"/>
      <c r="H486" s="37" t="str">
        <f t="shared" si="1"/>
        <v/>
      </c>
    </row>
    <row r="487">
      <c r="A487" s="28"/>
      <c r="C487" s="30"/>
      <c r="D487" s="31"/>
      <c r="E487" s="32"/>
      <c r="F487" s="34"/>
      <c r="G487" s="35"/>
      <c r="H487" s="37" t="str">
        <f t="shared" si="1"/>
        <v/>
      </c>
    </row>
    <row r="488">
      <c r="A488" s="28"/>
      <c r="C488" s="30"/>
      <c r="D488" s="31"/>
      <c r="E488" s="32"/>
      <c r="F488" s="34"/>
      <c r="G488" s="35"/>
      <c r="H488" s="37" t="str">
        <f t="shared" si="1"/>
        <v/>
      </c>
    </row>
    <row r="489">
      <c r="A489" s="28"/>
      <c r="C489" s="30"/>
      <c r="D489" s="31"/>
      <c r="E489" s="32"/>
      <c r="F489" s="34"/>
      <c r="G489" s="35"/>
      <c r="H489" s="37" t="str">
        <f t="shared" si="1"/>
        <v/>
      </c>
    </row>
    <row r="490">
      <c r="A490" s="28"/>
      <c r="C490" s="30"/>
      <c r="D490" s="31"/>
      <c r="E490" s="32"/>
      <c r="F490" s="34"/>
      <c r="G490" s="35"/>
      <c r="H490" s="37" t="str">
        <f t="shared" si="1"/>
        <v/>
      </c>
    </row>
    <row r="491">
      <c r="A491" s="28"/>
      <c r="C491" s="30"/>
      <c r="D491" s="31"/>
      <c r="E491" s="32"/>
      <c r="F491" s="34"/>
      <c r="G491" s="35"/>
      <c r="H491" s="37" t="str">
        <f t="shared" si="1"/>
        <v/>
      </c>
    </row>
    <row r="492">
      <c r="A492" s="28"/>
      <c r="C492" s="30"/>
      <c r="D492" s="31"/>
      <c r="E492" s="32"/>
      <c r="F492" s="34"/>
      <c r="G492" s="35"/>
      <c r="H492" s="37" t="str">
        <f t="shared" si="1"/>
        <v/>
      </c>
    </row>
    <row r="493">
      <c r="A493" s="28"/>
      <c r="C493" s="30"/>
      <c r="D493" s="31"/>
      <c r="E493" s="32"/>
      <c r="F493" s="34"/>
      <c r="G493" s="35"/>
      <c r="H493" s="37" t="str">
        <f t="shared" si="1"/>
        <v/>
      </c>
    </row>
    <row r="494">
      <c r="A494" s="28"/>
      <c r="C494" s="30"/>
      <c r="D494" s="31"/>
      <c r="E494" s="32"/>
      <c r="F494" s="34"/>
      <c r="G494" s="35"/>
      <c r="H494" s="37" t="str">
        <f t="shared" si="1"/>
        <v/>
      </c>
    </row>
    <row r="495">
      <c r="A495" s="28"/>
      <c r="C495" s="30"/>
      <c r="D495" s="31"/>
      <c r="E495" s="32"/>
      <c r="F495" s="34"/>
      <c r="G495" s="35"/>
      <c r="H495" s="37" t="str">
        <f t="shared" si="1"/>
        <v/>
      </c>
    </row>
    <row r="496">
      <c r="A496" s="28"/>
      <c r="C496" s="30"/>
      <c r="D496" s="31"/>
      <c r="E496" s="32"/>
      <c r="F496" s="34"/>
      <c r="G496" s="35"/>
      <c r="H496" s="37" t="str">
        <f t="shared" si="1"/>
        <v/>
      </c>
    </row>
    <row r="497">
      <c r="A497" s="28"/>
      <c r="C497" s="30"/>
      <c r="D497" s="31"/>
      <c r="E497" s="32"/>
      <c r="F497" s="34"/>
      <c r="G497" s="35"/>
      <c r="H497" s="37" t="str">
        <f t="shared" si="1"/>
        <v/>
      </c>
    </row>
    <row r="498">
      <c r="A498" s="28"/>
      <c r="C498" s="30"/>
      <c r="D498" s="31"/>
      <c r="E498" s="32"/>
      <c r="F498" s="34"/>
      <c r="G498" s="35"/>
      <c r="H498" s="37" t="str">
        <f t="shared" si="1"/>
        <v/>
      </c>
    </row>
    <row r="499">
      <c r="A499" s="28"/>
      <c r="C499" s="30"/>
      <c r="D499" s="31"/>
      <c r="E499" s="32"/>
      <c r="F499" s="34"/>
      <c r="G499" s="35"/>
      <c r="H499" s="37" t="str">
        <f t="shared" si="1"/>
        <v/>
      </c>
    </row>
    <row r="500">
      <c r="A500" s="28"/>
      <c r="C500" s="30"/>
      <c r="D500" s="31"/>
      <c r="E500" s="32"/>
      <c r="F500" s="34"/>
      <c r="G500" s="35"/>
      <c r="H500" s="37" t="str">
        <f t="shared" si="1"/>
        <v/>
      </c>
    </row>
    <row r="501">
      <c r="A501" s="28"/>
      <c r="C501" s="30"/>
      <c r="D501" s="31"/>
      <c r="E501" s="32"/>
      <c r="F501" s="34"/>
      <c r="G501" s="35"/>
      <c r="H501" s="37" t="str">
        <f t="shared" si="1"/>
        <v/>
      </c>
    </row>
    <row r="502">
      <c r="A502" s="28"/>
      <c r="C502" s="30"/>
      <c r="D502" s="31"/>
      <c r="E502" s="32"/>
      <c r="F502" s="34"/>
      <c r="G502" s="35"/>
      <c r="H502" s="37" t="str">
        <f t="shared" si="1"/>
        <v/>
      </c>
    </row>
    <row r="503">
      <c r="A503" s="28"/>
      <c r="C503" s="30"/>
      <c r="D503" s="31"/>
      <c r="E503" s="32"/>
      <c r="F503" s="34"/>
      <c r="G503" s="35"/>
      <c r="H503" s="37" t="str">
        <f t="shared" si="1"/>
        <v/>
      </c>
    </row>
    <row r="504">
      <c r="A504" s="28"/>
      <c r="C504" s="30"/>
      <c r="D504" s="31"/>
      <c r="E504" s="32"/>
      <c r="F504" s="34"/>
      <c r="G504" s="35"/>
      <c r="H504" s="37" t="str">
        <f t="shared" si="1"/>
        <v/>
      </c>
    </row>
    <row r="505">
      <c r="A505" s="28"/>
      <c r="C505" s="30"/>
      <c r="D505" s="31"/>
      <c r="E505" s="32"/>
      <c r="F505" s="34"/>
      <c r="G505" s="35"/>
      <c r="H505" s="37" t="str">
        <f t="shared" si="1"/>
        <v/>
      </c>
    </row>
    <row r="506">
      <c r="A506" s="28"/>
      <c r="C506" s="30"/>
      <c r="D506" s="31"/>
      <c r="E506" s="32"/>
      <c r="F506" s="34"/>
      <c r="G506" s="35"/>
      <c r="H506" s="37" t="str">
        <f t="shared" si="1"/>
        <v/>
      </c>
    </row>
    <row r="507">
      <c r="A507" s="28"/>
      <c r="C507" s="30"/>
      <c r="D507" s="31"/>
      <c r="E507" s="32"/>
      <c r="F507" s="34"/>
      <c r="G507" s="35"/>
      <c r="H507" s="37" t="str">
        <f t="shared" si="1"/>
        <v/>
      </c>
    </row>
    <row r="508">
      <c r="A508" s="28"/>
      <c r="C508" s="30"/>
      <c r="D508" s="31"/>
      <c r="E508" s="32"/>
      <c r="F508" s="34"/>
      <c r="G508" s="35"/>
      <c r="H508" s="37" t="str">
        <f t="shared" si="1"/>
        <v/>
      </c>
    </row>
    <row r="509">
      <c r="A509" s="28"/>
      <c r="C509" s="30"/>
      <c r="D509" s="31"/>
      <c r="E509" s="32"/>
      <c r="F509" s="34"/>
      <c r="G509" s="35"/>
      <c r="H509" s="37" t="str">
        <f t="shared" si="1"/>
        <v/>
      </c>
    </row>
    <row r="510">
      <c r="A510" s="28"/>
      <c r="C510" s="30"/>
      <c r="D510" s="31"/>
      <c r="E510" s="32"/>
      <c r="F510" s="34"/>
      <c r="G510" s="35"/>
      <c r="H510" s="37" t="str">
        <f t="shared" si="1"/>
        <v/>
      </c>
    </row>
  </sheetData>
  <autoFilter ref="$A$1:$H$51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11.86"/>
    <col customWidth="1" min="5" max="5" width="11.57"/>
    <col customWidth="1" min="6" max="6" width="12.0"/>
    <col customWidth="1" min="7" max="7" width="8.86"/>
  </cols>
  <sheetData>
    <row r="1">
      <c r="A1" s="17" t="s">
        <v>27</v>
      </c>
      <c r="B1" s="17" t="s">
        <v>36</v>
      </c>
      <c r="C1" s="17" t="s">
        <v>11</v>
      </c>
      <c r="D1" s="17" t="s">
        <v>85</v>
      </c>
      <c r="E1" s="17" t="s">
        <v>48</v>
      </c>
      <c r="F1" s="27" t="s">
        <v>49</v>
      </c>
      <c r="G1" s="23" t="s">
        <v>50</v>
      </c>
    </row>
    <row r="2">
      <c r="A2" s="57">
        <f>IFERROR(__xludf.DUMMYFUNCTION("FILTER({Historic!A:A,Historic!B:B,Historic!C:C,Historic!G:G},Historic!D:D=""DIVIDEND"",Historic!B:B&lt;&gt;"""",Historic!A:A&lt;&gt;""XXXXXX"")"),43464.0)</f>
        <v>43464</v>
      </c>
      <c r="B2" t="str">
        <f>IFERROR(__xludf.DUMMYFUNCTION("""COMPUTED_VALUE"""),"Long term US bonds (20-25 year)")</f>
        <v>Long term US bonds (20-25 year)</v>
      </c>
      <c r="C2" t="str">
        <f>IFERROR(__xludf.DUMMYFUNCTION("""COMPUTED_VALUE"""),"iShares USD Treasury Bond 20+yr UCITS ETF")</f>
        <v>iShares USD Treasury Bond 20+yr UCITS ETF</v>
      </c>
      <c r="D2" s="58">
        <f>IFERROR(__xludf.DUMMYFUNCTION("""COMPUTED_VALUE"""),4867.15)</f>
        <v>4867.15</v>
      </c>
      <c r="E2">
        <f>IF(A2,SUMIFS(Historic!$E:$E,Historic!$A:$A,"&lt;" &amp; $A2,Historic!$B:$B,"=" &amp; $B2),"")</f>
        <v>72242</v>
      </c>
      <c r="F2" s="59">
        <f>IF(A2,-SUMIFS(Historic!$G:$G,Historic!$A:$A,"&lt;" &amp; $A2,Historic!$B:$B,"=" &amp; $B2,Historic!$F:$F,"&lt;&gt;0"),"")</f>
        <v>283425.51</v>
      </c>
      <c r="G2" s="9">
        <f t="shared" ref="G2:G548" si="1">IF(F2,D2/F2,"")</f>
        <v>0.01717258972</v>
      </c>
    </row>
    <row r="3">
      <c r="A3" s="57">
        <f>IFERROR(__xludf.DUMMYFUNCTION("""COMPUTED_VALUE"""),43465.0)</f>
        <v>43465</v>
      </c>
      <c r="B3" t="str">
        <f>IFERROR(__xludf.DUMMYFUNCTION("""COMPUTED_VALUE"""),"Long term US bonds (20-25 year)")</f>
        <v>Long term US bonds (20-25 year)</v>
      </c>
      <c r="C3" t="str">
        <f>IFERROR(__xludf.DUMMYFUNCTION("""COMPUTED_VALUE"""),"iShares USD Treasury Bond 20+yr UCITS ETF")</f>
        <v>iShares USD Treasury Bond 20+yr UCITS ETF</v>
      </c>
      <c r="D3" s="58">
        <f>IFERROR(__xludf.DUMMYFUNCTION("""COMPUTED_VALUE"""),-618.49)</f>
        <v>-618.49</v>
      </c>
      <c r="E3">
        <f>IF(A3,SUMIFS(Historic!$E:$E,Historic!$A:$A,"&lt;" &amp; $A3,Historic!$B:$B,"=" &amp; $B3),"")</f>
        <v>72242</v>
      </c>
      <c r="F3" s="59">
        <f>IF(A3,-SUMIFS(Historic!$G:$G,Historic!$A:$A,"&lt;" &amp; $A3,Historic!$B:$B,"=" &amp; $B3,Historic!$F:$F,"&lt;&gt;0"),"")</f>
        <v>283425.51</v>
      </c>
      <c r="G3" s="9">
        <f t="shared" si="1"/>
        <v>-0.00218219595</v>
      </c>
    </row>
    <row r="4">
      <c r="A4" s="57">
        <f>IFERROR(__xludf.DUMMYFUNCTION("""COMPUTED_VALUE"""),43434.0)</f>
        <v>43434</v>
      </c>
      <c r="B4" t="str">
        <f>IFERROR(__xludf.DUMMYFUNCTION("""COMPUTED_VALUE"""),"Intermediate US bonds (7-10 year)")</f>
        <v>Intermediate US bonds (7-10 year)</v>
      </c>
      <c r="C4" t="str">
        <f>IFERROR(__xludf.DUMMYFUNCTION("""COMPUTED_VALUE"""),"iShares USD Treasury Bond 7-10yr UCITS ETF USD Dist")</f>
        <v>iShares USD Treasury Bond 7-10yr UCITS ETF USD Dist</v>
      </c>
      <c r="D4" s="59">
        <f>IFERROR(__xludf.DUMMYFUNCTION("""COMPUTED_VALUE"""),-204.87)</f>
        <v>-204.87</v>
      </c>
      <c r="E4">
        <f>IF(A4,SUMIFS(Historic!$E:$E,Historic!$A:$A,"&lt;" &amp; $A4,Historic!$B:$B,"=" &amp; $B4),"")</f>
        <v>680</v>
      </c>
      <c r="F4" s="59">
        <f>IF(A4,-SUMIFS(Historic!$G:$G,Historic!$A:$A,"&lt;" &amp; $A4,Historic!$B:$B,"=" &amp; $B4,Historic!$F:$F,"&lt;&gt;0"),"")</f>
        <v>111190.79</v>
      </c>
      <c r="G4" s="9">
        <f t="shared" si="1"/>
        <v>-0.001842508719</v>
      </c>
    </row>
    <row r="5">
      <c r="A5" s="57">
        <f>IFERROR(__xludf.DUMMYFUNCTION("""COMPUTED_VALUE"""),43433.0)</f>
        <v>43433</v>
      </c>
      <c r="B5" t="str">
        <f>IFERROR(__xludf.DUMMYFUNCTION("""COMPUTED_VALUE"""),"Intermediate US bonds (7-10 year)")</f>
        <v>Intermediate US bonds (7-10 year)</v>
      </c>
      <c r="C5" t="str">
        <f>IFERROR(__xludf.DUMMYFUNCTION("""COMPUTED_VALUE"""),"iShares USD Treasury Bond 7-10yr UCITS ETF USD Dist")</f>
        <v>iShares USD Treasury Bond 7-10yr UCITS ETF USD Dist</v>
      </c>
      <c r="D5" s="59">
        <f>IFERROR(__xludf.DUMMYFUNCTION("""COMPUTED_VALUE"""),1663.14)</f>
        <v>1663.14</v>
      </c>
      <c r="E5">
        <f>IF(A5,SUMIFS(Historic!$E:$E,Historic!$A:$A,"&lt;" &amp; $A5,Historic!$B:$B,"=" &amp; $B5),"")</f>
        <v>680</v>
      </c>
      <c r="F5" s="59">
        <f>IF(A5,-SUMIFS(Historic!$G:$G,Historic!$A:$A,"&lt;" &amp; $A5,Historic!$B:$B,"=" &amp; $B5,Historic!$F:$F,"&lt;&gt;0"),"")</f>
        <v>111190.79</v>
      </c>
      <c r="G5" s="9">
        <f t="shared" si="1"/>
        <v>0.0149575338</v>
      </c>
    </row>
    <row r="6">
      <c r="A6" s="57">
        <f>IFERROR(__xludf.DUMMYFUNCTION("""COMPUTED_VALUE"""),43384.0)</f>
        <v>43384</v>
      </c>
      <c r="B6" t="str">
        <f>IFERROR(__xludf.DUMMYFUNCTION("""COMPUTED_VALUE"""),"Stocks")</f>
        <v>Stocks</v>
      </c>
      <c r="C6" t="str">
        <f>IFERROR(__xludf.DUMMYFUNCTION("""COMPUTED_VALUE"""),"Vanguard S&amp;P 500 UCITS ETF")</f>
        <v>Vanguard S&amp;P 500 UCITS ETF</v>
      </c>
      <c r="D6" s="58">
        <f>IFERROR(__xludf.DUMMYFUNCTION("""COMPUTED_VALUE"""),-136.05)</f>
        <v>-136.05</v>
      </c>
      <c r="E6">
        <f>IF(A6,SUMIFS(Historic!$E:$E,Historic!$A:$A,"&lt;" &amp; $A6,Historic!$B:$B,"=" &amp; $B6),"")</f>
        <v>4603</v>
      </c>
      <c r="F6" s="59">
        <f>IF(A6,-SUMIFS(Historic!$G:$G,Historic!$A:$A,"&lt;" &amp; $A6,Historic!$B:$B,"=" &amp; $B6,Historic!$F:$F,"&lt;&gt;0"),"")</f>
        <v>201877.1</v>
      </c>
      <c r="G6" s="9">
        <f t="shared" si="1"/>
        <v>-0.0006739248781</v>
      </c>
    </row>
    <row r="7">
      <c r="A7" s="57">
        <f>IFERROR(__xludf.DUMMYFUNCTION("""COMPUTED_VALUE"""),43383.0)</f>
        <v>43383</v>
      </c>
      <c r="B7" t="str">
        <f>IFERROR(__xludf.DUMMYFUNCTION("""COMPUTED_VALUE"""),"Stocks")</f>
        <v>Stocks</v>
      </c>
      <c r="C7" t="str">
        <f>IFERROR(__xludf.DUMMYFUNCTION("""COMPUTED_VALUE"""),"Vanguard S&amp;P 500 UCITS ETF")</f>
        <v>Vanguard S&amp;P 500 UCITS ETF</v>
      </c>
      <c r="D7" s="58">
        <f>IFERROR(__xludf.DUMMYFUNCTION("""COMPUTED_VALUE"""),1024.7)</f>
        <v>1024.7</v>
      </c>
      <c r="E7">
        <f>IF(A7,SUMIFS(Historic!$E:$E,Historic!$A:$A,"&lt;" &amp; $A7,Historic!$B:$B,"=" &amp; $B7),"")</f>
        <v>4603</v>
      </c>
      <c r="F7" s="59">
        <f>IF(A7,-SUMIFS(Historic!$G:$G,Historic!$A:$A,"&lt;" &amp; $A7,Historic!$B:$B,"=" &amp; $B7,Historic!$F:$F,"&lt;&gt;0"),"")</f>
        <v>201877.1</v>
      </c>
      <c r="G7" s="9">
        <f t="shared" si="1"/>
        <v>0.005075860511</v>
      </c>
    </row>
    <row r="8">
      <c r="A8" s="57">
        <f>IFERROR(__xludf.DUMMYFUNCTION("""COMPUTED_VALUE"""),43350.0)</f>
        <v>43350</v>
      </c>
      <c r="B8" t="str">
        <f>IFERROR(__xludf.DUMMYFUNCTION("""COMPUTED_VALUE"""),"Long term US bonds (20-25 year)")</f>
        <v>Long term US bonds (20-25 year)</v>
      </c>
      <c r="C8" t="str">
        <f>IFERROR(__xludf.DUMMYFUNCTION("""COMPUTED_VALUE"""),"Vanguard Extended Duration Treasury ETF")</f>
        <v>Vanguard Extended Duration Treasury ETF</v>
      </c>
      <c r="D8" s="58">
        <f>IFERROR(__xludf.DUMMYFUNCTION("""COMPUTED_VALUE"""),-12.85)</f>
        <v>-12.85</v>
      </c>
      <c r="E8">
        <f>IF(A8,SUMIFS(Historic!$E:$E,Historic!$A:$A,"&lt;" &amp; $A8,Historic!$B:$B,"=" &amp; $B8),"")</f>
        <v>77234</v>
      </c>
      <c r="F8" s="59">
        <f>IF(A8,-SUMIFS(Historic!$G:$G,Historic!$A:$A,"&lt;" &amp; $A8,Historic!$B:$B,"=" &amp; $B8,Historic!$F:$F,"&lt;&gt;0"),"")</f>
        <v>303077.8</v>
      </c>
      <c r="G8" s="9">
        <f t="shared" si="1"/>
        <v>-0.00004239835448</v>
      </c>
    </row>
    <row r="9">
      <c r="A9" s="57">
        <f>IFERROR(__xludf.DUMMYFUNCTION("""COMPUTED_VALUE"""),43349.0)</f>
        <v>43349</v>
      </c>
      <c r="B9" t="str">
        <f>IFERROR(__xludf.DUMMYFUNCTION("""COMPUTED_VALUE"""),"Long term US bonds (20-25 year)")</f>
        <v>Long term US bonds (20-25 year)</v>
      </c>
      <c r="C9" t="str">
        <f>IFERROR(__xludf.DUMMYFUNCTION("""COMPUTED_VALUE"""),"Vanguard Extended Duration Treasury ETF")</f>
        <v>Vanguard Extended Duration Treasury ETF</v>
      </c>
      <c r="D9" s="58">
        <f>IFERROR(__xludf.DUMMYFUNCTION("""COMPUTED_VALUE"""),91.39)</f>
        <v>91.39</v>
      </c>
      <c r="E9">
        <f>IF(A9,SUMIFS(Historic!$E:$E,Historic!$A:$A,"&lt;" &amp; $A9,Historic!$B:$B,"=" &amp; $B9),"")</f>
        <v>76898</v>
      </c>
      <c r="F9" s="59">
        <f>IF(A9,-SUMIFS(Historic!$G:$G,Historic!$A:$A,"&lt;" &amp; $A9,Historic!$B:$B,"=" &amp; $B9,Historic!$F:$F,"&lt;&gt;0"),"")</f>
        <v>301776.21</v>
      </c>
      <c r="G9" s="9">
        <f t="shared" si="1"/>
        <v>0.0003028403067</v>
      </c>
    </row>
    <row r="10">
      <c r="A10" s="57">
        <f>IFERROR(__xludf.DUMMYFUNCTION("""COMPUTED_VALUE"""),43287.0)</f>
        <v>43287</v>
      </c>
      <c r="B10" t="str">
        <f>IFERROR(__xludf.DUMMYFUNCTION("""COMPUTED_VALUE"""),"Stocks")</f>
        <v>Stocks</v>
      </c>
      <c r="C10" t="str">
        <f>IFERROR(__xludf.DUMMYFUNCTION("""COMPUTED_VALUE"""),"Vanguard S&amp;P 500 UCITS ETF")</f>
        <v>Vanguard S&amp;P 500 UCITS ETF</v>
      </c>
      <c r="D10" s="58">
        <f>IFERROR(__xludf.DUMMYFUNCTION("""COMPUTED_VALUE"""),-72.97)</f>
        <v>-72.97</v>
      </c>
      <c r="E10">
        <f>IF(A10,SUMIFS(Historic!$E:$E,Historic!$A:$A,"&lt;" &amp; $A10,Historic!$B:$B,"=" &amp; $B10),"")</f>
        <v>2472</v>
      </c>
      <c r="F10" s="59">
        <f>IF(A10,-SUMIFS(Historic!$G:$G,Historic!$A:$A,"&lt;" &amp; $A10,Historic!$B:$B,"=" &amp; $B10,Historic!$F:$F,"&lt;&gt;0"),"")</f>
        <v>105310.59</v>
      </c>
      <c r="G10" s="9">
        <f t="shared" si="1"/>
        <v>-0.0006929027745</v>
      </c>
    </row>
    <row r="11">
      <c r="A11" s="57">
        <f>IFERROR(__xludf.DUMMYFUNCTION("""COMPUTED_VALUE"""),43286.0)</f>
        <v>43286</v>
      </c>
      <c r="B11" t="str">
        <f>IFERROR(__xludf.DUMMYFUNCTION("""COMPUTED_VALUE"""),"Stocks")</f>
        <v>Stocks</v>
      </c>
      <c r="C11" t="str">
        <f>IFERROR(__xludf.DUMMYFUNCTION("""COMPUTED_VALUE"""),"Vanguard S&amp;P 500 UCITS ETF")</f>
        <v>Vanguard S&amp;P 500 UCITS ETF</v>
      </c>
      <c r="D11" s="58">
        <f>IFERROR(__xludf.DUMMYFUNCTION("""COMPUTED_VALUE"""),501.26)</f>
        <v>501.26</v>
      </c>
      <c r="E11">
        <f>IF(A11,SUMIFS(Historic!$E:$E,Historic!$A:$A,"&lt;" &amp; $A11,Historic!$B:$B,"=" &amp; $B11),"")</f>
        <v>2472</v>
      </c>
      <c r="F11" s="59">
        <f>IF(A11,-SUMIFS(Historic!$G:$G,Historic!$A:$A,"&lt;" &amp; $A11,Historic!$B:$B,"=" &amp; $B11,Historic!$F:$F,"&lt;&gt;0"),"")</f>
        <v>105310.59</v>
      </c>
      <c r="G11" s="9">
        <f t="shared" si="1"/>
        <v>0.004759825199</v>
      </c>
    </row>
    <row r="12">
      <c r="A12" s="57">
        <f>IFERROR(__xludf.DUMMYFUNCTION("""COMPUTED_VALUE"""),43281.0)</f>
        <v>43281</v>
      </c>
      <c r="B12" t="str">
        <f>IFERROR(__xludf.DUMMYFUNCTION("""COMPUTED_VALUE"""),"Long term US bonds (20-25 year)")</f>
        <v>Long term US bonds (20-25 year)</v>
      </c>
      <c r="C12" t="str">
        <f>IFERROR(__xludf.DUMMYFUNCTION("""COMPUTED_VALUE"""),"iShares USD Treasury Bond 20+yr UCITS ETF")</f>
        <v>iShares USD Treasury Bond 20+yr UCITS ETF</v>
      </c>
      <c r="D12" s="58">
        <f>IFERROR(__xludf.DUMMYFUNCTION("""COMPUTED_VALUE"""),-0.04)</f>
        <v>-0.04</v>
      </c>
      <c r="E12">
        <f>IF(A12,SUMIFS(Historic!$E:$E,Historic!$A:$A,"&lt;" &amp; $A12,Historic!$B:$B,"=" &amp; $B12),"")</f>
        <v>38590</v>
      </c>
      <c r="F12" s="59">
        <f>IF(A12,-SUMIFS(Historic!$G:$G,Historic!$A:$A,"&lt;" &amp; $A12,Historic!$B:$B,"=" &amp; $B12,Historic!$F:$F,"&lt;&gt;0"),"")</f>
        <v>154014.5</v>
      </c>
      <c r="G12" s="9">
        <f t="shared" si="1"/>
        <v>-0.000000259715806</v>
      </c>
    </row>
    <row r="13">
      <c r="A13" s="57">
        <f>IFERROR(__xludf.DUMMYFUNCTION("""COMPUTED_VALUE"""),43280.0)</f>
        <v>43280</v>
      </c>
      <c r="B13" t="str">
        <f>IFERROR(__xludf.DUMMYFUNCTION("""COMPUTED_VALUE"""),"Long term US bonds (20-25 year)")</f>
        <v>Long term US bonds (20-25 year)</v>
      </c>
      <c r="C13" t="str">
        <f>IFERROR(__xludf.DUMMYFUNCTION("""COMPUTED_VALUE"""),"iShares USD Treasury Bond 20+yr UCITS ETF")</f>
        <v>iShares USD Treasury Bond 20+yr UCITS ETF</v>
      </c>
      <c r="D13" s="58">
        <f>IFERROR(__xludf.DUMMYFUNCTION("""COMPUTED_VALUE"""),-329.67)</f>
        <v>-329.67</v>
      </c>
      <c r="E13">
        <f>IF(A13,SUMIFS(Historic!$E:$E,Historic!$A:$A,"&lt;" &amp; $A13,Historic!$B:$B,"=" &amp; $B13),"")</f>
        <v>38590</v>
      </c>
      <c r="F13" s="59">
        <f>IF(A13,-SUMIFS(Historic!$G:$G,Historic!$A:$A,"&lt;" &amp; $A13,Historic!$B:$B,"=" &amp; $B13,Historic!$F:$F,"&lt;&gt;0"),"")</f>
        <v>154014.5</v>
      </c>
      <c r="G13" s="9">
        <f t="shared" si="1"/>
        <v>-0.002140512744</v>
      </c>
    </row>
    <row r="14">
      <c r="A14" s="57">
        <f>IFERROR(__xludf.DUMMYFUNCTION("""COMPUTED_VALUE"""),43279.0)</f>
        <v>43279</v>
      </c>
      <c r="B14" t="str">
        <f>IFERROR(__xludf.DUMMYFUNCTION("""COMPUTED_VALUE"""),"Long term US bonds (20-25 year)")</f>
        <v>Long term US bonds (20-25 year)</v>
      </c>
      <c r="C14" t="str">
        <f>IFERROR(__xludf.DUMMYFUNCTION("""COMPUTED_VALUE"""),"iShares USD Treasury Bond 20+yr UCITS ETF")</f>
        <v>iShares USD Treasury Bond 20+yr UCITS ETF</v>
      </c>
      <c r="D14" s="58">
        <f>IFERROR(__xludf.DUMMYFUNCTION("""COMPUTED_VALUE"""),2415.73)</f>
        <v>2415.73</v>
      </c>
      <c r="E14">
        <f>IF(A14,SUMIFS(Historic!$E:$E,Historic!$A:$A,"&lt;" &amp; $A14,Historic!$B:$B,"=" &amp; $B14),"")</f>
        <v>38590</v>
      </c>
      <c r="F14" s="59">
        <f>IF(A14,-SUMIFS(Historic!$G:$G,Historic!$A:$A,"&lt;" &amp; $A14,Historic!$B:$B,"=" &amp; $B14,Historic!$F:$F,"&lt;&gt;0"),"")</f>
        <v>154014.5</v>
      </c>
      <c r="G14" s="9">
        <f t="shared" si="1"/>
        <v>0.0156850816</v>
      </c>
    </row>
    <row r="15">
      <c r="A15" s="57">
        <f>IFERROR(__xludf.DUMMYFUNCTION("""COMPUTED_VALUE"""),43252.0)</f>
        <v>43252</v>
      </c>
      <c r="B15" t="str">
        <f>IFERROR(__xludf.DUMMYFUNCTION("""COMPUTED_VALUE"""),"Intermediate US bonds (7-10 year)")</f>
        <v>Intermediate US bonds (7-10 year)</v>
      </c>
      <c r="C15" t="str">
        <f>IFERROR(__xludf.DUMMYFUNCTION("""COMPUTED_VALUE"""),"iShares USD Treasury Bond 7-10yr UCITS ETF USD Dist")</f>
        <v>iShares USD Treasury Bond 7-10yr UCITS ETF USD Dist</v>
      </c>
      <c r="D15" s="59">
        <f>IFERROR(__xludf.DUMMYFUNCTION("""COMPUTED_VALUE"""),471.2)</f>
        <v>471.2</v>
      </c>
      <c r="E15">
        <f>IF(A15,SUMIFS(Historic!$E:$E,Historic!$A:$A,"&lt;" &amp; $A15,Historic!$B:$B,"=" &amp; $B15),"")</f>
        <v>220</v>
      </c>
      <c r="F15" s="59">
        <f>IF(A15,-SUMIFS(Historic!$G:$G,Historic!$A:$A,"&lt;" &amp; $A15,Historic!$B:$B,"=" &amp; $B15,Historic!$F:$F,"&lt;&gt;0"),"")</f>
        <v>37216.83</v>
      </c>
      <c r="G15" s="9">
        <f t="shared" si="1"/>
        <v>0.01266093861</v>
      </c>
    </row>
    <row r="16">
      <c r="A16" s="57">
        <f>IFERROR(__xludf.DUMMYFUNCTION("""COMPUTED_VALUE"""),43252.0)</f>
        <v>43252</v>
      </c>
      <c r="B16" t="str">
        <f>IFERROR(__xludf.DUMMYFUNCTION("""COMPUTED_VALUE"""),"Intermediate US bonds (7-10 year)")</f>
        <v>Intermediate US bonds (7-10 year)</v>
      </c>
      <c r="C16" t="str">
        <f>IFERROR(__xludf.DUMMYFUNCTION("""COMPUTED_VALUE"""),"iShares USD Treasury Bond 7-10yr UCITS ETF USD Dist")</f>
        <v>iShares USD Treasury Bond 7-10yr UCITS ETF USD Dist</v>
      </c>
      <c r="D16" s="59">
        <f>IFERROR(__xludf.DUMMYFUNCTION("""COMPUTED_VALUE"""),-68.59)</f>
        <v>-68.59</v>
      </c>
      <c r="E16">
        <f>IF(A16,SUMIFS(Historic!$E:$E,Historic!$A:$A,"&lt;" &amp; $A16,Historic!$B:$B,"=" &amp; $B16),"")</f>
        <v>220</v>
      </c>
      <c r="F16" s="59">
        <f>IF(A16,-SUMIFS(Historic!$G:$G,Historic!$A:$A,"&lt;" &amp; $A16,Historic!$B:$B,"=" &amp; $B16,Historic!$F:$F,"&lt;&gt;0"),"")</f>
        <v>37216.83</v>
      </c>
      <c r="G16" s="9">
        <f t="shared" si="1"/>
        <v>-0.001842983403</v>
      </c>
    </row>
    <row r="17">
      <c r="A17" s="57">
        <f>IFERROR(__xludf.DUMMYFUNCTION("""COMPUTED_VALUE"""),43226.0)</f>
        <v>43226</v>
      </c>
      <c r="B17" t="str">
        <f>IFERROR(__xludf.DUMMYFUNCTION("""COMPUTED_VALUE"""),"Intermediate US bonds (7-10 year)")</f>
        <v>Intermediate US bonds (7-10 year)</v>
      </c>
      <c r="C17" t="str">
        <f>IFERROR(__xludf.DUMMYFUNCTION("""COMPUTED_VALUE"""),"Vanguard Intermediate-Term Treasury ETF")</f>
        <v>Vanguard Intermediate-Term Treasury ETF</v>
      </c>
      <c r="D17" s="59">
        <f>IFERROR(__xludf.DUMMYFUNCTION("""COMPUTED_VALUE"""),-7.01)</f>
        <v>-7.01</v>
      </c>
      <c r="E17">
        <f>IF(A17,SUMIFS(Historic!$E:$E,Historic!$A:$A,"&lt;" &amp; $A17,Historic!$B:$B,"=" &amp; $B17),"")</f>
        <v>220</v>
      </c>
      <c r="F17" s="59">
        <f>IF(A17,-SUMIFS(Historic!$G:$G,Historic!$A:$A,"&lt;" &amp; $A17,Historic!$B:$B,"=" &amp; $B17,Historic!$F:$F,"&lt;&gt;0"),"")</f>
        <v>37216.83</v>
      </c>
      <c r="G17" s="9">
        <f t="shared" si="1"/>
        <v>-0.0001883556445</v>
      </c>
    </row>
    <row r="18">
      <c r="A18" s="57">
        <f>IFERROR(__xludf.DUMMYFUNCTION("""COMPUTED_VALUE"""),43226.0)</f>
        <v>43226</v>
      </c>
      <c r="B18" t="str">
        <f>IFERROR(__xludf.DUMMYFUNCTION("""COMPUTED_VALUE"""),"Intermediate US bonds (7-10 year)")</f>
        <v>Intermediate US bonds (7-10 year)</v>
      </c>
      <c r="C18" t="str">
        <f>IFERROR(__xludf.DUMMYFUNCTION("""COMPUTED_VALUE"""),"Vanguard Intermediate-Term Treasury ETF")</f>
        <v>Vanguard Intermediate-Term Treasury ETF</v>
      </c>
      <c r="D18" s="59">
        <f>IFERROR(__xludf.DUMMYFUNCTION("""COMPUTED_VALUE"""),42.49)</f>
        <v>42.49</v>
      </c>
      <c r="E18">
        <f>IF(A18,SUMIFS(Historic!$E:$E,Historic!$A:$A,"&lt;" &amp; $A18,Historic!$B:$B,"=" &amp; $B18),"")</f>
        <v>220</v>
      </c>
      <c r="F18" s="59">
        <f>IF(A18,-SUMIFS(Historic!$G:$G,Historic!$A:$A,"&lt;" &amp; $A18,Historic!$B:$B,"=" &amp; $B18,Historic!$F:$F,"&lt;&gt;0"),"")</f>
        <v>37216.83</v>
      </c>
      <c r="G18" s="9">
        <f t="shared" si="1"/>
        <v>0.001141687779</v>
      </c>
    </row>
    <row r="19">
      <c r="A19" s="57">
        <f>IFERROR(__xludf.DUMMYFUNCTION("""COMPUTED_VALUE"""),43197.0)</f>
        <v>43197</v>
      </c>
      <c r="B19" t="str">
        <f>IFERROR(__xludf.DUMMYFUNCTION("""COMPUTED_VALUE"""),"Stocks")</f>
        <v>Stocks</v>
      </c>
      <c r="C19" t="str">
        <f>IFERROR(__xludf.DUMMYFUNCTION("""COMPUTED_VALUE"""),"Vanguard S&amp;P 500 UCITS ETF")</f>
        <v>Vanguard S&amp;P 500 UCITS ETF</v>
      </c>
      <c r="D19" s="59">
        <f>IFERROR(__xludf.DUMMYFUNCTION("""COMPUTED_VALUE"""),7.05)</f>
        <v>7.05</v>
      </c>
      <c r="E19">
        <f>IF(A19,SUMIFS(Historic!$E:$E,Historic!$A:$A,"&lt;" &amp; $A19,Historic!$B:$B,"=" &amp; $B19),"")</f>
        <v>2025</v>
      </c>
      <c r="F19" s="59">
        <f>IF(A19,-SUMIFS(Historic!$G:$G,Historic!$A:$A,"&lt;" &amp; $A19,Historic!$B:$B,"=" &amp; $B19,Historic!$F:$F,"&lt;&gt;0"),"")</f>
        <v>84341.76</v>
      </c>
      <c r="G19" s="9">
        <f t="shared" si="1"/>
        <v>0.0000835884857</v>
      </c>
    </row>
    <row r="20">
      <c r="A20" s="57">
        <f>IFERROR(__xludf.DUMMYFUNCTION("""COMPUTED_VALUE"""),43197.0)</f>
        <v>43197</v>
      </c>
      <c r="B20" t="str">
        <f>IFERROR(__xludf.DUMMYFUNCTION("""COMPUTED_VALUE"""),"Intermediate US bonds (7-10 year)")</f>
        <v>Intermediate US bonds (7-10 year)</v>
      </c>
      <c r="C20" t="str">
        <f>IFERROR(__xludf.DUMMYFUNCTION("""COMPUTED_VALUE"""),"Vanguard Intermediate-Term Treasury ETF")</f>
        <v>Vanguard Intermediate-Term Treasury ETF</v>
      </c>
      <c r="D20" s="59">
        <f>IFERROR(__xludf.DUMMYFUNCTION("""COMPUTED_VALUE"""),-7.05)</f>
        <v>-7.05</v>
      </c>
      <c r="E20">
        <f>IF(A20,SUMIFS(Historic!$E:$E,Historic!$A:$A,"&lt;" &amp; $A20,Historic!$B:$B,"=" &amp; $B20),"")</f>
        <v>493</v>
      </c>
      <c r="F20" s="59">
        <f>IF(A20,-SUMIFS(Historic!$G:$G,Historic!$A:$A,"&lt;" &amp; $A20,Historic!$B:$B,"=" &amp; $B20,Historic!$F:$F,"&lt;&gt;0"),"")</f>
        <v>28083.68</v>
      </c>
      <c r="G20" s="9">
        <f t="shared" si="1"/>
        <v>-0.0002510354768</v>
      </c>
    </row>
    <row r="21">
      <c r="A21" s="57">
        <f>IFERROR(__xludf.DUMMYFUNCTION("""COMPUTED_VALUE"""),43197.0)</f>
        <v>43197</v>
      </c>
      <c r="B21" t="str">
        <f>IFERROR(__xludf.DUMMYFUNCTION("""COMPUTED_VALUE"""),"Stocks")</f>
        <v>Stocks</v>
      </c>
      <c r="C21" t="str">
        <f>IFERROR(__xludf.DUMMYFUNCTION("""COMPUTED_VALUE"""),"Vanguard S&amp;P 500 UCITS ETF")</f>
        <v>Vanguard S&amp;P 500 UCITS ETF</v>
      </c>
      <c r="D21" s="59">
        <f>IFERROR(__xludf.DUMMYFUNCTION("""COMPUTED_VALUE"""),-86.57)</f>
        <v>-86.57</v>
      </c>
      <c r="E21">
        <f>IF(A21,SUMIFS(Historic!$E:$E,Historic!$A:$A,"&lt;" &amp; $A21,Historic!$B:$B,"=" &amp; $B21),"")</f>
        <v>2025</v>
      </c>
      <c r="F21" s="59">
        <f>IF(A21,-SUMIFS(Historic!$G:$G,Historic!$A:$A,"&lt;" &amp; $A21,Historic!$B:$B,"=" &amp; $B21,Historic!$F:$F,"&lt;&gt;0"),"")</f>
        <v>84341.76</v>
      </c>
      <c r="G21" s="9">
        <f t="shared" si="1"/>
        <v>-0.001026419178</v>
      </c>
    </row>
    <row r="22">
      <c r="A22" s="57">
        <f>IFERROR(__xludf.DUMMYFUNCTION("""COMPUTED_VALUE"""),43196.0)</f>
        <v>43196</v>
      </c>
      <c r="B22" t="str">
        <f>IFERROR(__xludf.DUMMYFUNCTION("""COMPUTED_VALUE"""),"Intermediate US bonds (7-10 year)")</f>
        <v>Intermediate US bonds (7-10 year)</v>
      </c>
      <c r="C22" t="str">
        <f>IFERROR(__xludf.DUMMYFUNCTION("""COMPUTED_VALUE"""),"Vanguard Intermediate-Term Treasury ETF")</f>
        <v>Vanguard Intermediate-Term Treasury ETF</v>
      </c>
      <c r="D22" s="59">
        <f>IFERROR(__xludf.DUMMYFUNCTION("""COMPUTED_VALUE"""),43.62)</f>
        <v>43.62</v>
      </c>
      <c r="E22">
        <f>IF(A22,SUMIFS(Historic!$E:$E,Historic!$A:$A,"&lt;" &amp; $A22,Historic!$B:$B,"=" &amp; $B22),"")</f>
        <v>493</v>
      </c>
      <c r="F22" s="59">
        <f>IF(A22,-SUMIFS(Historic!$G:$G,Historic!$A:$A,"&lt;" &amp; $A22,Historic!$B:$B,"=" &amp; $B22,Historic!$F:$F,"&lt;&gt;0"),"")</f>
        <v>28083.68</v>
      </c>
      <c r="G22" s="9">
        <f t="shared" si="1"/>
        <v>0.001553215248</v>
      </c>
    </row>
    <row r="23">
      <c r="A23" s="57">
        <f>IFERROR(__xludf.DUMMYFUNCTION("""COMPUTED_VALUE"""),43196.0)</f>
        <v>43196</v>
      </c>
      <c r="B23" t="str">
        <f>IFERROR(__xludf.DUMMYFUNCTION("""COMPUTED_VALUE"""),"Stocks")</f>
        <v>Stocks</v>
      </c>
      <c r="C23" t="str">
        <f>IFERROR(__xludf.DUMMYFUNCTION("""COMPUTED_VALUE"""),"Vanguard S&amp;P 500 UCITS ETF")</f>
        <v>Vanguard S&amp;P 500 UCITS ETF</v>
      </c>
      <c r="D23" s="59">
        <f>IFERROR(__xludf.DUMMYFUNCTION("""COMPUTED_VALUE"""),420.27)</f>
        <v>420.27</v>
      </c>
      <c r="E23">
        <f>IF(A23,SUMIFS(Historic!$E:$E,Historic!$A:$A,"&lt;" &amp; $A23,Historic!$B:$B,"=" &amp; $B23),"")</f>
        <v>2025</v>
      </c>
      <c r="F23" s="59">
        <f>IF(A23,-SUMIFS(Historic!$G:$G,Historic!$A:$A,"&lt;" &amp; $A23,Historic!$B:$B,"=" &amp; $B23,Historic!$F:$F,"&lt;&gt;0"),"")</f>
        <v>84341.76</v>
      </c>
      <c r="G23" s="9">
        <f t="shared" si="1"/>
        <v>0.004982940835</v>
      </c>
    </row>
    <row r="24">
      <c r="A24" s="57">
        <f>IFERROR(__xludf.DUMMYFUNCTION("""COMPUTED_VALUE"""),43182.0)</f>
        <v>43182</v>
      </c>
      <c r="B24" t="str">
        <f>IFERROR(__xludf.DUMMYFUNCTION("""COMPUTED_VALUE"""),"Long term US bonds (20-25 year)")</f>
        <v>Long term US bonds (20-25 year)</v>
      </c>
      <c r="C24" t="str">
        <f>IFERROR(__xludf.DUMMYFUNCTION("""COMPUTED_VALUE"""),"Vanguard Extended Duration Treasury ETF")</f>
        <v>Vanguard Extended Duration Treasury ETF</v>
      </c>
      <c r="D24" s="59">
        <f>IFERROR(__xludf.DUMMYFUNCTION("""COMPUTED_VALUE"""),-89.96)</f>
        <v>-89.96</v>
      </c>
      <c r="E24">
        <f>IF(A24,SUMIFS(Historic!$E:$E,Historic!$A:$A,"&lt;" &amp; $A24,Historic!$B:$B,"=" &amp; $B24),"")</f>
        <v>707</v>
      </c>
      <c r="F24" s="59">
        <f>IF(A24,-SUMIFS(Historic!$G:$G,Historic!$A:$A,"&lt;" &amp; $A24,Historic!$B:$B,"=" &amp; $B24,Historic!$F:$F,"&lt;&gt;0"),"")</f>
        <v>73205.19</v>
      </c>
      <c r="G24" s="9">
        <f t="shared" si="1"/>
        <v>-0.001228874619</v>
      </c>
    </row>
    <row r="25">
      <c r="A25" s="57">
        <f>IFERROR(__xludf.DUMMYFUNCTION("""COMPUTED_VALUE"""),43181.0)</f>
        <v>43181</v>
      </c>
      <c r="B25" t="str">
        <f>IFERROR(__xludf.DUMMYFUNCTION("""COMPUTED_VALUE"""),"Long term US bonds (20-25 year)")</f>
        <v>Long term US bonds (20-25 year)</v>
      </c>
      <c r="C25" t="str">
        <f>IFERROR(__xludf.DUMMYFUNCTION("""COMPUTED_VALUE"""),"Vanguard Extended Duration Treasury ETF")</f>
        <v>Vanguard Extended Duration Treasury ETF</v>
      </c>
      <c r="D25" s="59">
        <f>IFERROR(__xludf.DUMMYFUNCTION("""COMPUTED_VALUE"""),476.2)</f>
        <v>476.2</v>
      </c>
      <c r="E25">
        <f>IF(A25,SUMIFS(Historic!$E:$E,Historic!$A:$A,"&lt;" &amp; $A25,Historic!$B:$B,"=" &amp; $B25),"")</f>
        <v>707</v>
      </c>
      <c r="F25" s="59">
        <f>IF(A25,-SUMIFS(Historic!$G:$G,Historic!$A:$A,"&lt;" &amp; $A25,Historic!$B:$B,"=" &amp; $B25,Historic!$F:$F,"&lt;&gt;0"),"")</f>
        <v>73205.19</v>
      </c>
      <c r="G25" s="9">
        <f t="shared" si="1"/>
        <v>0.006505003265</v>
      </c>
    </row>
    <row r="26">
      <c r="A26" s="57">
        <f>IFERROR(__xludf.DUMMYFUNCTION("""COMPUTED_VALUE"""),43170.0)</f>
        <v>43170</v>
      </c>
      <c r="B26" t="str">
        <f>IFERROR(__xludf.DUMMYFUNCTION("""COMPUTED_VALUE"""),"Intermediate US bonds (7-10 year)")</f>
        <v>Intermediate US bonds (7-10 year)</v>
      </c>
      <c r="C26" t="str">
        <f>IFERROR(__xludf.DUMMYFUNCTION("""COMPUTED_VALUE"""),"Vanguard Intermediate-Term Treasury ETF")</f>
        <v>Vanguard Intermediate-Term Treasury ETF</v>
      </c>
      <c r="D26" s="59">
        <f>IFERROR(__xludf.DUMMYFUNCTION("""COMPUTED_VALUE"""),-7.17)</f>
        <v>-7.17</v>
      </c>
      <c r="E26">
        <f>IF(A26,SUMIFS(Historic!$E:$E,Historic!$A:$A,"&lt;" &amp; $A26,Historic!$B:$B,"=" &amp; $B26),"")</f>
        <v>493</v>
      </c>
      <c r="F26" s="59">
        <f>IF(A26,-SUMIFS(Historic!$G:$G,Historic!$A:$A,"&lt;" &amp; $A26,Historic!$B:$B,"=" &amp; $B26,Historic!$F:$F,"&lt;&gt;0"),"")</f>
        <v>28083.68</v>
      </c>
      <c r="G26" s="9">
        <f t="shared" si="1"/>
        <v>-0.0002553084211</v>
      </c>
    </row>
    <row r="27">
      <c r="A27" s="57">
        <f>IFERROR(__xludf.DUMMYFUNCTION("""COMPUTED_VALUE"""),43167.0)</f>
        <v>43167</v>
      </c>
      <c r="B27" t="str">
        <f>IFERROR(__xludf.DUMMYFUNCTION("""COMPUTED_VALUE"""),"Intermediate US bonds (7-10 year)")</f>
        <v>Intermediate US bonds (7-10 year)</v>
      </c>
      <c r="C27" t="str">
        <f>IFERROR(__xludf.DUMMYFUNCTION("""COMPUTED_VALUE"""),"Vanguard Intermediate-Term Treasury ETF")</f>
        <v>Vanguard Intermediate-Term Treasury ETF</v>
      </c>
      <c r="D27" s="59">
        <f>IFERROR(__xludf.DUMMYFUNCTION("""COMPUTED_VALUE"""),38.09)</f>
        <v>38.09</v>
      </c>
      <c r="E27">
        <f>IF(A27,SUMIFS(Historic!$E:$E,Historic!$A:$A,"&lt;" &amp; $A27,Historic!$B:$B,"=" &amp; $B27),"")</f>
        <v>493</v>
      </c>
      <c r="F27" s="59">
        <f>IF(A27,-SUMIFS(Historic!$G:$G,Historic!$A:$A,"&lt;" &amp; $A27,Historic!$B:$B,"=" &amp; $B27,Historic!$F:$F,"&lt;&gt;0"),"")</f>
        <v>28083.68</v>
      </c>
      <c r="G27" s="9">
        <f t="shared" si="1"/>
        <v>0.001356303732</v>
      </c>
    </row>
    <row r="28">
      <c r="A28" s="57">
        <f>IFERROR(__xludf.DUMMYFUNCTION("""COMPUTED_VALUE"""),43139.0)</f>
        <v>43139</v>
      </c>
      <c r="B28" t="str">
        <f>IFERROR(__xludf.DUMMYFUNCTION("""COMPUTED_VALUE"""),"Intermediate US bonds (7-10 year)")</f>
        <v>Intermediate US bonds (7-10 year)</v>
      </c>
      <c r="C28" t="str">
        <f>IFERROR(__xludf.DUMMYFUNCTION("""COMPUTED_VALUE"""),"Vanguard Intermediate-Term Treasury ETF")</f>
        <v>Vanguard Intermediate-Term Treasury ETF</v>
      </c>
      <c r="D28" s="59">
        <f>IFERROR(__xludf.DUMMYFUNCTION("""COMPUTED_VALUE"""),-7.02)</f>
        <v>-7.02</v>
      </c>
      <c r="E28">
        <f>IF(A28,SUMIFS(Historic!$E:$E,Historic!$A:$A,"&lt;" &amp; $A28,Historic!$B:$B,"=" &amp; $B28),"")</f>
        <v>493</v>
      </c>
      <c r="F28" s="59">
        <f>IF(A28,-SUMIFS(Historic!$G:$G,Historic!$A:$A,"&lt;" &amp; $A28,Historic!$B:$B,"=" &amp; $B28,Historic!$F:$F,"&lt;&gt;0"),"")</f>
        <v>28083.68</v>
      </c>
      <c r="G28" s="9">
        <f t="shared" si="1"/>
        <v>-0.0002499672408</v>
      </c>
    </row>
    <row r="29">
      <c r="A29" s="57">
        <f>IFERROR(__xludf.DUMMYFUNCTION("""COMPUTED_VALUE"""),43138.0)</f>
        <v>43138</v>
      </c>
      <c r="B29" t="str">
        <f>IFERROR(__xludf.DUMMYFUNCTION("""COMPUTED_VALUE"""),"Intermediate US bonds (7-10 year)")</f>
        <v>Intermediate US bonds (7-10 year)</v>
      </c>
      <c r="C29" t="str">
        <f>IFERROR(__xludf.DUMMYFUNCTION("""COMPUTED_VALUE"""),"Vanguard Intermediate-Term Treasury ETF")</f>
        <v>Vanguard Intermediate-Term Treasury ETF</v>
      </c>
      <c r="D29" s="59">
        <f>IFERROR(__xludf.DUMMYFUNCTION("""COMPUTED_VALUE"""),37.88)</f>
        <v>37.88</v>
      </c>
      <c r="E29">
        <f>IF(A29,SUMIFS(Historic!$E:$E,Historic!$A:$A,"&lt;" &amp; $A29,Historic!$B:$B,"=" &amp; $B29),"")</f>
        <v>493</v>
      </c>
      <c r="F29" s="59">
        <f>IF(A29,-SUMIFS(Historic!$G:$G,Historic!$A:$A,"&lt;" &amp; $A29,Historic!$B:$B,"=" &amp; $B29,Historic!$F:$F,"&lt;&gt;0"),"")</f>
        <v>28083.68</v>
      </c>
      <c r="G29" s="9">
        <f t="shared" si="1"/>
        <v>0.00134882608</v>
      </c>
    </row>
    <row r="30">
      <c r="A30" s="57">
        <f>IFERROR(__xludf.DUMMYFUNCTION("""COMPUTED_VALUE"""),43110.0)</f>
        <v>43110</v>
      </c>
      <c r="B30" t="str">
        <f>IFERROR(__xludf.DUMMYFUNCTION("""COMPUTED_VALUE"""),"Stocks")</f>
        <v>Stocks</v>
      </c>
      <c r="C30" t="str">
        <f>IFERROR(__xludf.DUMMYFUNCTION("""COMPUTED_VALUE"""),"Vanguard S&amp;P 500 UCITS ETF")</f>
        <v>Vanguard S&amp;P 500 UCITS ETF</v>
      </c>
      <c r="D30" s="59">
        <f>IFERROR(__xludf.DUMMYFUNCTION("""COMPUTED_VALUE"""),-42.4)</f>
        <v>-42.4</v>
      </c>
      <c r="E30">
        <f>IF(A30,SUMIFS(Historic!$E:$E,Historic!$A:$A,"&lt;" &amp; $A30,Historic!$B:$B,"=" &amp; $B30),"")</f>
        <v>1231</v>
      </c>
      <c r="F30" s="59">
        <f>IF(A30,-SUMIFS(Historic!$G:$G,Historic!$A:$A,"&lt;" &amp; $A30,Historic!$B:$B,"=" &amp; $B30,Historic!$F:$F,"&lt;&gt;0"),"")</f>
        <v>48655.74</v>
      </c>
      <c r="G30" s="9">
        <f t="shared" si="1"/>
        <v>-0.0008714285303</v>
      </c>
    </row>
    <row r="31">
      <c r="A31" s="57">
        <f>IFERROR(__xludf.DUMMYFUNCTION("""COMPUTED_VALUE"""),43109.0)</f>
        <v>43109</v>
      </c>
      <c r="B31" t="str">
        <f>IFERROR(__xludf.DUMMYFUNCTION("""COMPUTED_VALUE"""),"Stocks")</f>
        <v>Stocks</v>
      </c>
      <c r="C31" t="str">
        <f>IFERROR(__xludf.DUMMYFUNCTION("""COMPUTED_VALUE"""),"Vanguard S&amp;P 500 UCITS ETF")</f>
        <v>Vanguard S&amp;P 500 UCITS ETF</v>
      </c>
      <c r="D31" s="59">
        <f>IFERROR(__xludf.DUMMYFUNCTION("""COMPUTED_VALUE"""),259.89)</f>
        <v>259.89</v>
      </c>
      <c r="E31">
        <f>IF(A31,SUMIFS(Historic!$E:$E,Historic!$A:$A,"&lt;" &amp; $A31,Historic!$B:$B,"=" &amp; $B31),"")</f>
        <v>1231</v>
      </c>
      <c r="F31" s="59">
        <f>IF(A31,-SUMIFS(Historic!$G:$G,Historic!$A:$A,"&lt;" &amp; $A31,Historic!$B:$B,"=" &amp; $B31,Historic!$F:$F,"&lt;&gt;0"),"")</f>
        <v>48655.74</v>
      </c>
      <c r="G31" s="9">
        <f t="shared" si="1"/>
        <v>0.005341404735</v>
      </c>
    </row>
    <row r="32">
      <c r="A32" s="57">
        <f>IFERROR(__xludf.DUMMYFUNCTION("""COMPUTED_VALUE"""),43103.0)</f>
        <v>43103</v>
      </c>
      <c r="B32" t="str">
        <f>IFERROR(__xludf.DUMMYFUNCTION("""COMPUTED_VALUE"""),"Intermediate US bonds (7-10 year)")</f>
        <v>Intermediate US bonds (7-10 year)</v>
      </c>
      <c r="C32" t="str">
        <f>IFERROR(__xludf.DUMMYFUNCTION("""COMPUTED_VALUE"""),"Vanguard Intermediate-Term Treasury ETF")</f>
        <v>Vanguard Intermediate-Term Treasury ETF</v>
      </c>
      <c r="D32" s="59">
        <f>IFERROR(__xludf.DUMMYFUNCTION("""COMPUTED_VALUE"""),-132.32)</f>
        <v>-132.32</v>
      </c>
      <c r="E32">
        <f>IF(A32,SUMIFS(Historic!$E:$E,Historic!$A:$A,"&lt;" &amp; $A32,Historic!$B:$B,"=" &amp; $B32),"")</f>
        <v>493</v>
      </c>
      <c r="F32" s="59">
        <f>IF(A32,-SUMIFS(Historic!$G:$G,Historic!$A:$A,"&lt;" &amp; $A32,Historic!$B:$B,"=" &amp; $B32,Historic!$F:$F,"&lt;&gt;0"),"")</f>
        <v>28083.68</v>
      </c>
      <c r="G32" s="9">
        <f t="shared" si="1"/>
        <v>-0.004711633233</v>
      </c>
    </row>
    <row r="33">
      <c r="A33" s="57">
        <f>IFERROR(__xludf.DUMMYFUNCTION("""COMPUTED_VALUE"""),43102.0)</f>
        <v>43102</v>
      </c>
      <c r="B33" t="str">
        <f>IFERROR(__xludf.DUMMYFUNCTION("""COMPUTED_VALUE"""),"Long term US bonds (20-25 year)")</f>
        <v>Long term US bonds (20-25 year)</v>
      </c>
      <c r="C33" t="str">
        <f>IFERROR(__xludf.DUMMYFUNCTION("""COMPUTED_VALUE"""),"Vanguard Extended Duration Treasury ETF")</f>
        <v>Vanguard Extended Duration Treasury ETF</v>
      </c>
      <c r="D33" s="59">
        <f>IFERROR(__xludf.DUMMYFUNCTION("""COMPUTED_VALUE"""),519.88)</f>
        <v>519.88</v>
      </c>
      <c r="E33">
        <f>IF(A33,SUMIFS(Historic!$E:$E,Historic!$A:$A,"&lt;" &amp; $A33,Historic!$B:$B,"=" &amp; $B33),"")</f>
        <v>707</v>
      </c>
      <c r="F33" s="59">
        <f>IF(A33,-SUMIFS(Historic!$G:$G,Historic!$A:$A,"&lt;" &amp; $A33,Historic!$B:$B,"=" &amp; $B33,Historic!$F:$F,"&lt;&gt;0"),"")</f>
        <v>73205.19</v>
      </c>
      <c r="G33" s="9">
        <f t="shared" si="1"/>
        <v>0.007101682271</v>
      </c>
    </row>
    <row r="34">
      <c r="A34" s="57">
        <f>IFERROR(__xludf.DUMMYFUNCTION("""COMPUTED_VALUE"""),43102.0)</f>
        <v>43102</v>
      </c>
      <c r="B34" t="str">
        <f>IFERROR(__xludf.DUMMYFUNCTION("""COMPUTED_VALUE"""),"Long term US bonds (20-25 year)")</f>
        <v>Long term US bonds (20-25 year)</v>
      </c>
      <c r="C34" t="str">
        <f>IFERROR(__xludf.DUMMYFUNCTION("""COMPUTED_VALUE"""),"Vanguard Extended Duration Treasury ETF")</f>
        <v>Vanguard Extended Duration Treasury ETF</v>
      </c>
      <c r="D34" s="59">
        <f>IFERROR(__xludf.DUMMYFUNCTION("""COMPUTED_VALUE"""),208.14)</f>
        <v>208.14</v>
      </c>
      <c r="E34">
        <f>IF(A34,SUMIFS(Historic!$E:$E,Historic!$A:$A,"&lt;" &amp; $A34,Historic!$B:$B,"=" &amp; $B34),"")</f>
        <v>707</v>
      </c>
      <c r="F34" s="59">
        <f>IF(A34,-SUMIFS(Historic!$G:$G,Historic!$A:$A,"&lt;" &amp; $A34,Historic!$B:$B,"=" &amp; $B34,Historic!$F:$F,"&lt;&gt;0"),"")</f>
        <v>73205.19</v>
      </c>
      <c r="G34" s="9">
        <f t="shared" si="1"/>
        <v>0.002843241033</v>
      </c>
    </row>
    <row r="35">
      <c r="A35" s="57">
        <f>IFERROR(__xludf.DUMMYFUNCTION("""COMPUTED_VALUE"""),43102.0)</f>
        <v>43102</v>
      </c>
      <c r="B35" t="str">
        <f>IFERROR(__xludf.DUMMYFUNCTION("""COMPUTED_VALUE"""),"Intermediate US bonds (7-10 year)")</f>
        <v>Intermediate US bonds (7-10 year)</v>
      </c>
      <c r="C35" t="str">
        <f>IFERROR(__xludf.DUMMYFUNCTION("""COMPUTED_VALUE"""),"Vanguard Intermediate-Term Treasury ETF")</f>
        <v>Vanguard Intermediate-Term Treasury ETF</v>
      </c>
      <c r="D35" s="59">
        <f>IFERROR(__xludf.DUMMYFUNCTION("""COMPUTED_VALUE"""),43.79)</f>
        <v>43.79</v>
      </c>
      <c r="E35">
        <f>IF(A35,SUMIFS(Historic!$E:$E,Historic!$A:$A,"&lt;" &amp; $A35,Historic!$B:$B,"=" &amp; $B35),"")</f>
        <v>493</v>
      </c>
      <c r="F35" s="59">
        <f>IF(A35,-SUMIFS(Historic!$G:$G,Historic!$A:$A,"&lt;" &amp; $A35,Historic!$B:$B,"=" &amp; $B35,Historic!$F:$F,"&lt;&gt;0"),"")</f>
        <v>28083.68</v>
      </c>
      <c r="G35" s="9">
        <f t="shared" si="1"/>
        <v>0.001559268586</v>
      </c>
    </row>
    <row r="36">
      <c r="A36" s="57">
        <f>IFERROR(__xludf.DUMMYFUNCTION("""COMPUTED_VALUE"""),43077.0)</f>
        <v>43077</v>
      </c>
      <c r="B36" t="str">
        <f>IFERROR(__xludf.DUMMYFUNCTION("""COMPUTED_VALUE"""),"Intermediate US bonds (7-10 year)")</f>
        <v>Intermediate US bonds (7-10 year)</v>
      </c>
      <c r="C36" t="str">
        <f>IFERROR(__xludf.DUMMYFUNCTION("""COMPUTED_VALUE"""),"Vanguard Intermediate-Term Treasury ETF")</f>
        <v>Vanguard Intermediate-Term Treasury ETF</v>
      </c>
      <c r="D36" s="59">
        <f>IFERROR(__xludf.DUMMYFUNCTION("""COMPUTED_VALUE"""),-4.96)</f>
        <v>-4.96</v>
      </c>
      <c r="E36">
        <f>IF(A36,SUMIFS(Historic!$E:$E,Historic!$A:$A,"&lt;" &amp; $A36,Historic!$B:$B,"=" &amp; $B36),"")</f>
        <v>401</v>
      </c>
      <c r="F36" s="59">
        <f>IF(A36,-SUMIFS(Historic!$G:$G,Historic!$A:$A,"&lt;" &amp; $A36,Historic!$B:$B,"=" &amp; $B36,Historic!$F:$F,"&lt;&gt;0"),"")</f>
        <v>23070.21</v>
      </c>
      <c r="G36" s="9">
        <f t="shared" si="1"/>
        <v>-0.0002149958756</v>
      </c>
    </row>
    <row r="37">
      <c r="A37" s="57">
        <f>IFERROR(__xludf.DUMMYFUNCTION("""COMPUTED_VALUE"""),43076.0)</f>
        <v>43076</v>
      </c>
      <c r="B37" t="str">
        <f>IFERROR(__xludf.DUMMYFUNCTION("""COMPUTED_VALUE"""),"Intermediate US bonds (7-10 year)")</f>
        <v>Intermediate US bonds (7-10 year)</v>
      </c>
      <c r="C37" t="str">
        <f>IFERROR(__xludf.DUMMYFUNCTION("""COMPUTED_VALUE"""),"Vanguard Intermediate-Term Treasury ETF")</f>
        <v>Vanguard Intermediate-Term Treasury ETF</v>
      </c>
      <c r="D37" s="59">
        <f>IFERROR(__xludf.DUMMYFUNCTION("""COMPUTED_VALUE"""),32.39)</f>
        <v>32.39</v>
      </c>
      <c r="E37">
        <f>IF(A37,SUMIFS(Historic!$E:$E,Historic!$A:$A,"&lt;" &amp; $A37,Historic!$B:$B,"=" &amp; $B37),"")</f>
        <v>401</v>
      </c>
      <c r="F37" s="59">
        <f>IF(A37,-SUMIFS(Historic!$G:$G,Historic!$A:$A,"&lt;" &amp; $A37,Historic!$B:$B,"=" &amp; $B37,Historic!$F:$F,"&lt;&gt;0"),"")</f>
        <v>23070.21</v>
      </c>
      <c r="G37" s="9">
        <f t="shared" si="1"/>
        <v>0.001403975083</v>
      </c>
    </row>
    <row r="38">
      <c r="A38" s="57">
        <f>IFERROR(__xludf.DUMMYFUNCTION("""COMPUTED_VALUE"""),43047.0)</f>
        <v>43047</v>
      </c>
      <c r="B38" t="str">
        <f>IFERROR(__xludf.DUMMYFUNCTION("""COMPUTED_VALUE"""),"Intermediate US bonds (7-10 year)")</f>
        <v>Intermediate US bonds (7-10 year)</v>
      </c>
      <c r="C38" t="str">
        <f>IFERROR(__xludf.DUMMYFUNCTION("""COMPUTED_VALUE"""),"Vanguard Intermediate-Term Treasury ETF")</f>
        <v>Vanguard Intermediate-Term Treasury ETF</v>
      </c>
      <c r="D38" s="59">
        <f>IFERROR(__xludf.DUMMYFUNCTION("""COMPUTED_VALUE"""),-3.92)</f>
        <v>-3.92</v>
      </c>
      <c r="E38">
        <f>IF(A38,SUMIFS(Historic!$E:$E,Historic!$A:$A,"&lt;" &amp; $A38,Historic!$B:$B,"=" &amp; $B38),"")</f>
        <v>401</v>
      </c>
      <c r="F38" s="59">
        <f>IF(A38,-SUMIFS(Historic!$G:$G,Historic!$A:$A,"&lt;" &amp; $A38,Historic!$B:$B,"=" &amp; $B38,Historic!$F:$F,"&lt;&gt;0"),"")</f>
        <v>23070.21</v>
      </c>
      <c r="G38" s="9">
        <f t="shared" si="1"/>
        <v>-0.0001699160953</v>
      </c>
    </row>
    <row r="39">
      <c r="A39" s="57">
        <f>IFERROR(__xludf.DUMMYFUNCTION("""COMPUTED_VALUE"""),43046.0)</f>
        <v>43046</v>
      </c>
      <c r="B39" t="str">
        <f>IFERROR(__xludf.DUMMYFUNCTION("""COMPUTED_VALUE"""),"Intermediate US bonds (7-10 year)")</f>
        <v>Intermediate US bonds (7-10 year)</v>
      </c>
      <c r="C39" t="str">
        <f>IFERROR(__xludf.DUMMYFUNCTION("""COMPUTED_VALUE"""),"Vanguard Intermediate-Term Treasury ETF")</f>
        <v>Vanguard Intermediate-Term Treasury ETF</v>
      </c>
      <c r="D39" s="59">
        <f>IFERROR(__xludf.DUMMYFUNCTION("""COMPUTED_VALUE"""),28.53)</f>
        <v>28.53</v>
      </c>
      <c r="E39">
        <f>IF(A39,SUMIFS(Historic!$E:$E,Historic!$A:$A,"&lt;" &amp; $A39,Historic!$B:$B,"=" &amp; $B39),"")</f>
        <v>373</v>
      </c>
      <c r="F39" s="59">
        <f>IF(A39,-SUMIFS(Historic!$G:$G,Historic!$A:$A,"&lt;" &amp; $A39,Historic!$B:$B,"=" &amp; $B39,Historic!$F:$F,"&lt;&gt;0"),"")</f>
        <v>21508.87</v>
      </c>
      <c r="G39" s="9">
        <f t="shared" si="1"/>
        <v>0.001326429515</v>
      </c>
    </row>
    <row r="40">
      <c r="A40" s="57">
        <f>IFERROR(__xludf.DUMMYFUNCTION("""COMPUTED_VALUE"""),43015.0)</f>
        <v>43015</v>
      </c>
      <c r="B40" t="str">
        <f>IFERROR(__xludf.DUMMYFUNCTION("""COMPUTED_VALUE"""),"Intermediate US bonds (7-10 year)")</f>
        <v>Intermediate US bonds (7-10 year)</v>
      </c>
      <c r="C40" t="str">
        <f>IFERROR(__xludf.DUMMYFUNCTION("""COMPUTED_VALUE"""),"Vanguard Intermediate-Term Treasury ETF")</f>
        <v>Vanguard Intermediate-Term Treasury ETF</v>
      </c>
      <c r="D40" s="59">
        <f>IFERROR(__xludf.DUMMYFUNCTION("""COMPUTED_VALUE"""),-4.5)</f>
        <v>-4.5</v>
      </c>
      <c r="E40">
        <f>IF(A40,SUMIFS(Historic!$E:$E,Historic!$A:$A,"&lt;" &amp; $A40,Historic!$B:$B,"=" &amp; $B40),"")</f>
        <v>373</v>
      </c>
      <c r="F40" s="59">
        <f>IF(A40,-SUMIFS(Historic!$G:$G,Historic!$A:$A,"&lt;" &amp; $A40,Historic!$B:$B,"=" &amp; $B40,Historic!$F:$F,"&lt;&gt;0"),"")</f>
        <v>21508.87</v>
      </c>
      <c r="G40" s="9">
        <f t="shared" si="1"/>
        <v>-0.0002092160118</v>
      </c>
    </row>
    <row r="41">
      <c r="A41" s="57">
        <f>IFERROR(__xludf.DUMMYFUNCTION("""COMPUTED_VALUE"""),43014.0)</f>
        <v>43014</v>
      </c>
      <c r="B41" t="str">
        <f>IFERROR(__xludf.DUMMYFUNCTION("""COMPUTED_VALUE"""),"Stocks")</f>
        <v>Stocks</v>
      </c>
      <c r="C41" t="str">
        <f>IFERROR(__xludf.DUMMYFUNCTION("""COMPUTED_VALUE"""),"Vanguard S&amp;P 500 UCITS ETF")</f>
        <v>Vanguard S&amp;P 500 UCITS ETF</v>
      </c>
      <c r="D41" s="59">
        <f>IFERROR(__xludf.DUMMYFUNCTION("""COMPUTED_VALUE"""),-26.14)</f>
        <v>-26.14</v>
      </c>
      <c r="E41">
        <f>IF(A41,SUMIFS(Historic!$E:$E,Historic!$A:$A,"&lt;" &amp; $A41,Historic!$B:$B,"=" &amp; $B41),"")</f>
        <v>1003</v>
      </c>
      <c r="F41" s="59">
        <f>IF(A41,-SUMIFS(Historic!$G:$G,Historic!$A:$A,"&lt;" &amp; $A41,Historic!$B:$B,"=" &amp; $B41,Historic!$F:$F,"&lt;&gt;0"),"")</f>
        <v>38879.4</v>
      </c>
      <c r="G41" s="9">
        <f t="shared" si="1"/>
        <v>-0.0006723354784</v>
      </c>
    </row>
    <row r="42">
      <c r="A42" s="57">
        <f>IFERROR(__xludf.DUMMYFUNCTION("""COMPUTED_VALUE"""),43014.0)</f>
        <v>43014</v>
      </c>
      <c r="B42" t="str">
        <f>IFERROR(__xludf.DUMMYFUNCTION("""COMPUTED_VALUE"""),"Intermediate US bonds (7-10 year)")</f>
        <v>Intermediate US bonds (7-10 year)</v>
      </c>
      <c r="C42" t="str">
        <f>IFERROR(__xludf.DUMMYFUNCTION("""COMPUTED_VALUE"""),"Vanguard Intermediate-Term Treasury ETF")</f>
        <v>Vanguard Intermediate-Term Treasury ETF</v>
      </c>
      <c r="D42" s="59">
        <f>IFERROR(__xludf.DUMMYFUNCTION("""COMPUTED_VALUE"""),30.34)</f>
        <v>30.34</v>
      </c>
      <c r="E42">
        <f>IF(A42,SUMIFS(Historic!$E:$E,Historic!$A:$A,"&lt;" &amp; $A42,Historic!$B:$B,"=" &amp; $B42),"")</f>
        <v>373</v>
      </c>
      <c r="F42" s="59">
        <f>IF(A42,-SUMIFS(Historic!$G:$G,Historic!$A:$A,"&lt;" &amp; $A42,Historic!$B:$B,"=" &amp; $B42,Historic!$F:$F,"&lt;&gt;0"),"")</f>
        <v>21508.87</v>
      </c>
      <c r="G42" s="9">
        <f t="shared" si="1"/>
        <v>0.001410580844</v>
      </c>
    </row>
    <row r="43">
      <c r="A43" s="57">
        <f>IFERROR(__xludf.DUMMYFUNCTION("""COMPUTED_VALUE"""),43013.0)</f>
        <v>43013</v>
      </c>
      <c r="B43" t="str">
        <f>IFERROR(__xludf.DUMMYFUNCTION("""COMPUTED_VALUE"""),"Stocks")</f>
        <v>Stocks</v>
      </c>
      <c r="C43" t="str">
        <f>IFERROR(__xludf.DUMMYFUNCTION("""COMPUTED_VALUE"""),"Vanguard S&amp;P 500 UCITS ETF")</f>
        <v>Vanguard S&amp;P 500 UCITS ETF</v>
      </c>
      <c r="D43" s="59">
        <f>IFERROR(__xludf.DUMMYFUNCTION("""COMPUTED_VALUE"""),178.2)</f>
        <v>178.2</v>
      </c>
      <c r="E43">
        <f>IF(A43,SUMIFS(Historic!$E:$E,Historic!$A:$A,"&lt;" &amp; $A43,Historic!$B:$B,"=" &amp; $B43),"")</f>
        <v>1003</v>
      </c>
      <c r="F43" s="59">
        <f>IF(A43,-SUMIFS(Historic!$G:$G,Historic!$A:$A,"&lt;" &amp; $A43,Historic!$B:$B,"=" &amp; $B43,Historic!$F:$F,"&lt;&gt;0"),"")</f>
        <v>38879.4</v>
      </c>
      <c r="G43" s="9">
        <f t="shared" si="1"/>
        <v>0.004583404065</v>
      </c>
    </row>
    <row r="44">
      <c r="A44" s="57">
        <f>IFERROR(__xludf.DUMMYFUNCTION("""COMPUTED_VALUE"""),43012.0)</f>
        <v>43012</v>
      </c>
      <c r="B44" t="str">
        <f>IFERROR(__xludf.DUMMYFUNCTION("""COMPUTED_VALUE"""),"Long term US bonds (20-25 year)")</f>
        <v>Long term US bonds (20-25 year)</v>
      </c>
      <c r="C44" t="str">
        <f>IFERROR(__xludf.DUMMYFUNCTION("""COMPUTED_VALUE"""),"Vanguard Extended Duration Treasury ETF")</f>
        <v>Vanguard Extended Duration Treasury ETF</v>
      </c>
      <c r="D44" s="59">
        <f>IFERROR(__xludf.DUMMYFUNCTION("""COMPUTED_VALUE"""),-54.04)</f>
        <v>-54.04</v>
      </c>
      <c r="E44">
        <f>IF(A44,SUMIFS(Historic!$E:$E,Historic!$A:$A,"&lt;" &amp; $A44,Historic!$B:$B,"=" &amp; $B44),"")</f>
        <v>514</v>
      </c>
      <c r="F44" s="59">
        <f>IF(A44,-SUMIFS(Historic!$G:$G,Historic!$A:$A,"&lt;" &amp; $A44,Historic!$B:$B,"=" &amp; $B44,Historic!$F:$F,"&lt;&gt;0"),"")</f>
        <v>53471.42</v>
      </c>
      <c r="G44" s="9">
        <f t="shared" si="1"/>
        <v>-0.001010633344</v>
      </c>
    </row>
    <row r="45">
      <c r="A45" s="57">
        <f>IFERROR(__xludf.DUMMYFUNCTION("""COMPUTED_VALUE"""),43011.0)</f>
        <v>43011</v>
      </c>
      <c r="B45" t="str">
        <f>IFERROR(__xludf.DUMMYFUNCTION("""COMPUTED_VALUE"""),"Long term US bonds (20-25 year)")</f>
        <v>Long term US bonds (20-25 year)</v>
      </c>
      <c r="C45" t="str">
        <f>IFERROR(__xludf.DUMMYFUNCTION("""COMPUTED_VALUE"""),"Vanguard Extended Duration Treasury ETF")</f>
        <v>Vanguard Extended Duration Treasury ETF</v>
      </c>
      <c r="D45" s="59">
        <f>IFERROR(__xludf.DUMMYFUNCTION("""COMPUTED_VALUE"""),359.13)</f>
        <v>359.13</v>
      </c>
      <c r="E45">
        <f>IF(A45,SUMIFS(Historic!$E:$E,Historic!$A:$A,"&lt;" &amp; $A45,Historic!$B:$B,"=" &amp; $B45),"")</f>
        <v>514</v>
      </c>
      <c r="F45" s="59">
        <f>IF(A45,-SUMIFS(Historic!$G:$G,Historic!$A:$A,"&lt;" &amp; $A45,Historic!$B:$B,"=" &amp; $B45,Historic!$F:$F,"&lt;&gt;0"),"")</f>
        <v>53471.42</v>
      </c>
      <c r="G45" s="9">
        <f t="shared" si="1"/>
        <v>0.006716298165</v>
      </c>
    </row>
    <row r="46">
      <c r="A46" s="57">
        <f>IFERROR(__xludf.DUMMYFUNCTION("""COMPUTED_VALUE"""),42988.0)</f>
        <v>42988</v>
      </c>
      <c r="B46" t="str">
        <f>IFERROR(__xludf.DUMMYFUNCTION("""COMPUTED_VALUE"""),"Intermediate US bonds (7-10 year)")</f>
        <v>Intermediate US bonds (7-10 year)</v>
      </c>
      <c r="C46" t="str">
        <f>IFERROR(__xludf.DUMMYFUNCTION("""COMPUTED_VALUE"""),"Vanguard Intermediate-Term Treasury ETF")</f>
        <v>Vanguard Intermediate-Term Treasury ETF</v>
      </c>
      <c r="D46" s="59">
        <f>IFERROR(__xludf.DUMMYFUNCTION("""COMPUTED_VALUE"""),-4.0)</f>
        <v>-4</v>
      </c>
      <c r="E46">
        <f>IF(A46,SUMIFS(Historic!$E:$E,Historic!$A:$A,"&lt;" &amp; $A46,Historic!$B:$B,"=" &amp; $B46),"")</f>
        <v>328</v>
      </c>
      <c r="F46" s="59">
        <f>IF(A46,-SUMIFS(Historic!$G:$G,Historic!$A:$A,"&lt;" &amp; $A46,Historic!$B:$B,"=" &amp; $B46,Historic!$F:$F,"&lt;&gt;0"),"")</f>
        <v>19047.33</v>
      </c>
      <c r="G46" s="9">
        <f t="shared" si="1"/>
        <v>-0.0002100031868</v>
      </c>
    </row>
    <row r="47">
      <c r="A47" s="57">
        <f>IFERROR(__xludf.DUMMYFUNCTION("""COMPUTED_VALUE"""),42987.0)</f>
        <v>42987</v>
      </c>
      <c r="B47" t="str">
        <f>IFERROR(__xludf.DUMMYFUNCTION("""COMPUTED_VALUE"""),"Intermediate US bonds (7-10 year)")</f>
        <v>Intermediate US bonds (7-10 year)</v>
      </c>
      <c r="C47" t="str">
        <f>IFERROR(__xludf.DUMMYFUNCTION("""COMPUTED_VALUE"""),"Vanguard Intermediate-Term Treasury ETF")</f>
        <v>Vanguard Intermediate-Term Treasury ETF</v>
      </c>
      <c r="D47" s="59">
        <f>IFERROR(__xludf.DUMMYFUNCTION("""COMPUTED_VALUE"""),23.49)</f>
        <v>23.49</v>
      </c>
      <c r="E47">
        <f>IF(A47,SUMIFS(Historic!$E:$E,Historic!$A:$A,"&lt;" &amp; $A47,Historic!$B:$B,"=" &amp; $B47),"")</f>
        <v>328</v>
      </c>
      <c r="F47" s="59">
        <f>IF(A47,-SUMIFS(Historic!$G:$G,Historic!$A:$A,"&lt;" &amp; $A47,Historic!$B:$B,"=" &amp; $B47,Historic!$F:$F,"&lt;&gt;0"),"")</f>
        <v>19047.33</v>
      </c>
      <c r="G47" s="9">
        <f t="shared" si="1"/>
        <v>0.001233243714</v>
      </c>
    </row>
    <row r="48">
      <c r="A48" s="57">
        <f>IFERROR(__xludf.DUMMYFUNCTION("""COMPUTED_VALUE"""),42956.0)</f>
        <v>42956</v>
      </c>
      <c r="B48" t="str">
        <f>IFERROR(__xludf.DUMMYFUNCTION("""COMPUTED_VALUE"""),"Intermediate US bonds (7-10 year)")</f>
        <v>Intermediate US bonds (7-10 year)</v>
      </c>
      <c r="C48" t="str">
        <f>IFERROR(__xludf.DUMMYFUNCTION("""COMPUTED_VALUE"""),"Vanguard Intermediate-Term Treasury ETF")</f>
        <v>Vanguard Intermediate-Term Treasury ETF</v>
      </c>
      <c r="D48" s="59">
        <f>IFERROR(__xludf.DUMMYFUNCTION("""COMPUTED_VALUE"""),-3.14)</f>
        <v>-3.14</v>
      </c>
      <c r="E48">
        <f>IF(A48,SUMIFS(Historic!$E:$E,Historic!$A:$A,"&lt;" &amp; $A48,Historic!$B:$B,"=" &amp; $B48),"")</f>
        <v>307</v>
      </c>
      <c r="F48" s="59">
        <f>IF(A48,-SUMIFS(Historic!$G:$G,Historic!$A:$A,"&lt;" &amp; $A48,Historic!$B:$B,"=" &amp; $B48,Historic!$F:$F,"&lt;&gt;0"),"")</f>
        <v>17894.51</v>
      </c>
      <c r="G48" s="9">
        <f t="shared" si="1"/>
        <v>-0.0001754728126</v>
      </c>
    </row>
    <row r="49">
      <c r="A49" s="57">
        <f>IFERROR(__xludf.DUMMYFUNCTION("""COMPUTED_VALUE"""),42955.0)</f>
        <v>42955</v>
      </c>
      <c r="B49" t="str">
        <f>IFERROR(__xludf.DUMMYFUNCTION("""COMPUTED_VALUE"""),"Intermediate US bonds (7-10 year)")</f>
        <v>Intermediate US bonds (7-10 year)</v>
      </c>
      <c r="C49" t="str">
        <f>IFERROR(__xludf.DUMMYFUNCTION("""COMPUTED_VALUE"""),"Vanguard Intermediate-Term Treasury ETF")</f>
        <v>Vanguard Intermediate-Term Treasury ETF</v>
      </c>
      <c r="D49" s="59">
        <f>IFERROR(__xludf.DUMMYFUNCTION("""COMPUTED_VALUE"""),20.91)</f>
        <v>20.91</v>
      </c>
      <c r="E49">
        <f>IF(A49,SUMIFS(Historic!$E:$E,Historic!$A:$A,"&lt;" &amp; $A49,Historic!$B:$B,"=" &amp; $B49),"")</f>
        <v>307</v>
      </c>
      <c r="F49" s="59">
        <f>IF(A49,-SUMIFS(Historic!$G:$G,Historic!$A:$A,"&lt;" &amp; $A49,Historic!$B:$B,"=" &amp; $B49,Historic!$F:$F,"&lt;&gt;0"),"")</f>
        <v>17894.51</v>
      </c>
      <c r="G49" s="9">
        <f t="shared" si="1"/>
        <v>0.001168514813</v>
      </c>
    </row>
    <row r="50">
      <c r="A50" s="57">
        <f>IFERROR(__xludf.DUMMYFUNCTION("""COMPUTED_VALUE"""),42928.0)</f>
        <v>42928</v>
      </c>
      <c r="B50" t="str">
        <f>IFERROR(__xludf.DUMMYFUNCTION("""COMPUTED_VALUE"""),"Intermediate US bonds (7-10 year)")</f>
        <v>Intermediate US bonds (7-10 year)</v>
      </c>
      <c r="C50" t="str">
        <f>IFERROR(__xludf.DUMMYFUNCTION("""COMPUTED_VALUE"""),"iShares 7-10 Year Treasury Bond ETF")</f>
        <v>iShares 7-10 Year Treasury Bond ETF</v>
      </c>
      <c r="D50" s="59">
        <f>IFERROR(__xludf.DUMMYFUNCTION("""COMPUTED_VALUE"""),-2.54)</f>
        <v>-2.54</v>
      </c>
      <c r="E50">
        <f>IF(A50,SUMIFS(Historic!$E:$E,Historic!$A:$A,"&lt;" &amp; $A50,Historic!$B:$B,"=" &amp; $B50),"")</f>
        <v>286</v>
      </c>
      <c r="F50" s="59">
        <f>IF(A50,-SUMIFS(Historic!$G:$G,Historic!$A:$A,"&lt;" &amp; $A50,Historic!$B:$B,"=" &amp; $B50,Historic!$F:$F,"&lt;&gt;0"),"")</f>
        <v>16745.73</v>
      </c>
      <c r="G50" s="9">
        <f t="shared" si="1"/>
        <v>-0.0001516804582</v>
      </c>
    </row>
    <row r="51">
      <c r="A51" s="57">
        <f>IFERROR(__xludf.DUMMYFUNCTION("""COMPUTED_VALUE"""),42927.0)</f>
        <v>42927</v>
      </c>
      <c r="B51" t="str">
        <f>IFERROR(__xludf.DUMMYFUNCTION("""COMPUTED_VALUE"""),"Intermediate US bonds (7-10 year)")</f>
        <v>Intermediate US bonds (7-10 year)</v>
      </c>
      <c r="C51" t="str">
        <f>IFERROR(__xludf.DUMMYFUNCTION("""COMPUTED_VALUE"""),"iShares 7-10 Year Treasury Bond ETF")</f>
        <v>iShares 7-10 Year Treasury Bond ETF</v>
      </c>
      <c r="D51" s="59">
        <f>IFERROR(__xludf.DUMMYFUNCTION("""COMPUTED_VALUE"""),19.77)</f>
        <v>19.77</v>
      </c>
      <c r="E51">
        <f>IF(A51,SUMIFS(Historic!$E:$E,Historic!$A:$A,"&lt;" &amp; $A51,Historic!$B:$B,"=" &amp; $B51),"")</f>
        <v>286</v>
      </c>
      <c r="F51" s="59">
        <f>IF(A51,-SUMIFS(Historic!$G:$G,Historic!$A:$A,"&lt;" &amp; $A51,Historic!$B:$B,"=" &amp; $B51,Historic!$F:$F,"&lt;&gt;0"),"")</f>
        <v>16745.73</v>
      </c>
      <c r="G51" s="9">
        <f t="shared" si="1"/>
        <v>0.001180599472</v>
      </c>
    </row>
    <row r="52">
      <c r="A52" s="57">
        <f>IFERROR(__xludf.DUMMYFUNCTION("""COMPUTED_VALUE"""),42923.0)</f>
        <v>42923</v>
      </c>
      <c r="B52" t="str">
        <f>IFERROR(__xludf.DUMMYFUNCTION("""COMPUTED_VALUE"""),"Long term US bonds (20-25 year)")</f>
        <v>Long term US bonds (20-25 year)</v>
      </c>
      <c r="C52" t="str">
        <f>IFERROR(__xludf.DUMMYFUNCTION("""COMPUTED_VALUE"""),"Vanguard Extended Duration Treasury ETF")</f>
        <v>Vanguard Extended Duration Treasury ETF</v>
      </c>
      <c r="D52" s="59">
        <f>IFERROR(__xludf.DUMMYFUNCTION("""COMPUTED_VALUE"""),-31.95)</f>
        <v>-31.95</v>
      </c>
      <c r="E52">
        <f>IF(A52,SUMIFS(Historic!$E:$E,Historic!$A:$A,"&lt;" &amp; $A52,Historic!$B:$B,"=" &amp; $B52),"")</f>
        <v>420</v>
      </c>
      <c r="F52" s="59">
        <f>IF(A52,-SUMIFS(Historic!$G:$G,Historic!$A:$A,"&lt;" &amp; $A52,Historic!$B:$B,"=" &amp; $B52,Historic!$F:$F,"&lt;&gt;0"),"")</f>
        <v>44021.97</v>
      </c>
      <c r="G52" s="9">
        <f t="shared" si="1"/>
        <v>-0.0007257739715</v>
      </c>
    </row>
    <row r="53">
      <c r="A53" s="57">
        <f>IFERROR(__xludf.DUMMYFUNCTION("""COMPUTED_VALUE"""),42922.0)</f>
        <v>42922</v>
      </c>
      <c r="B53" t="str">
        <f>IFERROR(__xludf.DUMMYFUNCTION("""COMPUTED_VALUE"""),"Long term US bonds (20-25 year)")</f>
        <v>Long term US bonds (20-25 year)</v>
      </c>
      <c r="C53" t="str">
        <f>IFERROR(__xludf.DUMMYFUNCTION("""COMPUTED_VALUE"""),"Vanguard Extended Duration Treasury ETF")</f>
        <v>Vanguard Extended Duration Treasury ETF</v>
      </c>
      <c r="D53" s="59">
        <f>IFERROR(__xludf.DUMMYFUNCTION("""COMPUTED_VALUE"""),255.04)</f>
        <v>255.04</v>
      </c>
      <c r="E53">
        <f>IF(A53,SUMIFS(Historic!$E:$E,Historic!$A:$A,"&lt;" &amp; $A53,Historic!$B:$B,"=" &amp; $B53),"")</f>
        <v>420</v>
      </c>
      <c r="F53" s="59">
        <f>IF(A53,-SUMIFS(Historic!$G:$G,Historic!$A:$A,"&lt;" &amp; $A53,Historic!$B:$B,"=" &amp; $B53,Historic!$F:$F,"&lt;&gt;0"),"")</f>
        <v>44021.97</v>
      </c>
      <c r="G53" s="9">
        <f t="shared" si="1"/>
        <v>0.005793470851</v>
      </c>
    </row>
    <row r="54">
      <c r="A54" s="57">
        <f>IFERROR(__xludf.DUMMYFUNCTION("""COMPUTED_VALUE"""),42915.0)</f>
        <v>42915</v>
      </c>
      <c r="B54" t="str">
        <f>IFERROR(__xludf.DUMMYFUNCTION("""COMPUTED_VALUE"""),"Stocks")</f>
        <v>Stocks</v>
      </c>
      <c r="C54" t="str">
        <f>IFERROR(__xludf.DUMMYFUNCTION("""COMPUTED_VALUE"""),"Vanguard Total Stock Market ETF")</f>
        <v>Vanguard Total Stock Market ETF</v>
      </c>
      <c r="D54" s="59">
        <f>IFERROR(__xludf.DUMMYFUNCTION("""COMPUTED_VALUE"""),-14.95)</f>
        <v>-14.95</v>
      </c>
      <c r="E54">
        <f>IF(A54,SUMIFS(Historic!$E:$E,Historic!$A:$A,"&lt;" &amp; $A54,Historic!$B:$B,"=" &amp; $B54),"")</f>
        <v>251</v>
      </c>
      <c r="F54" s="59">
        <f>IF(A54,-SUMIFS(Historic!$G:$G,Historic!$A:$A,"&lt;" &amp; $A54,Historic!$B:$B,"=" &amp; $B54,Historic!$F:$F,"&lt;&gt;0"),"")</f>
        <v>26008.79</v>
      </c>
      <c r="G54" s="9">
        <f t="shared" si="1"/>
        <v>-0.0005748056715</v>
      </c>
    </row>
    <row r="55">
      <c r="A55" s="57">
        <f>IFERROR(__xludf.DUMMYFUNCTION("""COMPUTED_VALUE"""),42914.0)</f>
        <v>42914</v>
      </c>
      <c r="B55" t="str">
        <f>IFERROR(__xludf.DUMMYFUNCTION("""COMPUTED_VALUE"""),"Stocks")</f>
        <v>Stocks</v>
      </c>
      <c r="C55" t="str">
        <f>IFERROR(__xludf.DUMMYFUNCTION("""COMPUTED_VALUE"""),"Vanguard Total Stock Market ETF")</f>
        <v>Vanguard Total Stock Market ETF</v>
      </c>
      <c r="D55" s="59">
        <f>IFERROR(__xludf.DUMMYFUNCTION("""COMPUTED_VALUE"""),122.68)</f>
        <v>122.68</v>
      </c>
      <c r="E55">
        <f>IF(A55,SUMIFS(Historic!$E:$E,Historic!$A:$A,"&lt;" &amp; $A55,Historic!$B:$B,"=" &amp; $B55),"")</f>
        <v>251</v>
      </c>
      <c r="F55" s="59">
        <f>IF(A55,-SUMIFS(Historic!$G:$G,Historic!$A:$A,"&lt;" &amp; $A55,Historic!$B:$B,"=" &amp; $B55,Historic!$F:$F,"&lt;&gt;0"),"")</f>
        <v>26008.79</v>
      </c>
      <c r="G55" s="9">
        <f t="shared" si="1"/>
        <v>0.004716866875</v>
      </c>
    </row>
    <row r="56">
      <c r="A56" s="57">
        <f>IFERROR(__xludf.DUMMYFUNCTION("""COMPUTED_VALUE"""),42895.0)</f>
        <v>42895</v>
      </c>
      <c r="B56" t="str">
        <f>IFERROR(__xludf.DUMMYFUNCTION("""COMPUTED_VALUE"""),"Intermediate US bonds (7-10 year)")</f>
        <v>Intermediate US bonds (7-10 year)</v>
      </c>
      <c r="C56" t="str">
        <f>IFERROR(__xludf.DUMMYFUNCTION("""COMPUTED_VALUE"""),"iShares 7-10 Year Treasury Bond ETF")</f>
        <v>iShares 7-10 Year Treasury Bond ETF</v>
      </c>
      <c r="D56" s="59">
        <f>IFERROR(__xludf.DUMMYFUNCTION("""COMPUTED_VALUE"""),-1.66)</f>
        <v>-1.66</v>
      </c>
      <c r="E56">
        <f>IF(A56,SUMIFS(Historic!$E:$E,Historic!$A:$A,"&lt;" &amp; $A56,Historic!$B:$B,"=" &amp; $B56),"")</f>
        <v>110</v>
      </c>
      <c r="F56" s="59">
        <f>IF(A56,-SUMIFS(Historic!$G:$G,Historic!$A:$A,"&lt;" &amp; $A56,Historic!$B:$B,"=" &amp; $B56,Historic!$F:$F,"&lt;&gt;0"),"")</f>
        <v>10649.1</v>
      </c>
      <c r="G56" s="9">
        <f t="shared" si="1"/>
        <v>-0.0001558817177</v>
      </c>
    </row>
    <row r="57">
      <c r="A57" s="57">
        <f>IFERROR(__xludf.DUMMYFUNCTION("""COMPUTED_VALUE"""),42894.0)</f>
        <v>42894</v>
      </c>
      <c r="B57" t="str">
        <f>IFERROR(__xludf.DUMMYFUNCTION("""COMPUTED_VALUE"""),"Intermediate US bonds (7-10 year)")</f>
        <v>Intermediate US bonds (7-10 year)</v>
      </c>
      <c r="C57" t="str">
        <f>IFERROR(__xludf.DUMMYFUNCTION("""COMPUTED_VALUE"""),"iShares 7-10 Year Treasury Bond ETF")</f>
        <v>iShares 7-10 Year Treasury Bond ETF</v>
      </c>
      <c r="D57" s="59">
        <f>IFERROR(__xludf.DUMMYFUNCTION("""COMPUTED_VALUE"""),15.3)</f>
        <v>15.3</v>
      </c>
      <c r="E57">
        <f>IF(A57,SUMIFS(Historic!$E:$E,Historic!$A:$A,"&lt;" &amp; $A57,Historic!$B:$B,"=" &amp; $B57),"")</f>
        <v>110</v>
      </c>
      <c r="F57" s="59">
        <f>IF(A57,-SUMIFS(Historic!$G:$G,Historic!$A:$A,"&lt;" &amp; $A57,Historic!$B:$B,"=" &amp; $B57,Historic!$F:$F,"&lt;&gt;0"),"")</f>
        <v>10649.1</v>
      </c>
      <c r="G57" s="9">
        <f t="shared" si="1"/>
        <v>0.001436741133</v>
      </c>
    </row>
    <row r="58">
      <c r="A58" s="57">
        <f>IFERROR(__xludf.DUMMYFUNCTION("""COMPUTED_VALUE"""),42845.0)</f>
        <v>42845</v>
      </c>
      <c r="B58" t="str">
        <f>IFERROR(__xludf.DUMMYFUNCTION("""COMPUTED_VALUE"""),"Intermediate US bonds (7-10 year)")</f>
        <v>Intermediate US bonds (7-10 year)</v>
      </c>
      <c r="C58" t="str">
        <f>IFERROR(__xludf.DUMMYFUNCTION("""COMPUTED_VALUE"""),"iShares 7-10 Year Treasury Bond ETF")</f>
        <v>iShares 7-10 Year Treasury Bond ETF</v>
      </c>
      <c r="D58" s="59">
        <f>IFERROR(__xludf.DUMMYFUNCTION("""COMPUTED_VALUE"""),4.9)</f>
        <v>4.9</v>
      </c>
      <c r="E58">
        <f>IF(A58,SUMIFS(Historic!$E:$E,Historic!$A:$A,"&lt;" &amp; $A58,Historic!$B:$B,"=" &amp; $B58),"")</f>
        <v>67</v>
      </c>
      <c r="F58" s="59">
        <f>IF(A58,-SUMIFS(Historic!$G:$G,Historic!$A:$A,"&lt;" &amp; $A58,Historic!$B:$B,"=" &amp; $B58,Historic!$F:$F,"&lt;&gt;0"),"")</f>
        <v>6580.49</v>
      </c>
      <c r="G58" s="9">
        <f t="shared" si="1"/>
        <v>0.0007446254002</v>
      </c>
    </row>
    <row r="59">
      <c r="A59" s="57">
        <f>IFERROR(__xludf.DUMMYFUNCTION("""COMPUTED_VALUE"""),42836.0)</f>
        <v>42836</v>
      </c>
      <c r="B59" t="str">
        <f>IFERROR(__xludf.DUMMYFUNCTION("""COMPUTED_VALUE"""),"Long term US bonds (20-25 year)")</f>
        <v>Long term US bonds (20-25 year)</v>
      </c>
      <c r="C59" t="str">
        <f>IFERROR(__xludf.DUMMYFUNCTION("""COMPUTED_VALUE"""),"Vanguard Extended Duration Treasury ETF")</f>
        <v>Vanguard Extended Duration Treasury ETF</v>
      </c>
      <c r="D59" s="59">
        <f>IFERROR(__xludf.DUMMYFUNCTION("""COMPUTED_VALUE"""),56.77)</f>
        <v>56.77</v>
      </c>
      <c r="E59">
        <f>IF(A59,SUMIFS(Historic!$E:$E,Historic!$A:$A,"&lt;" &amp; $A59,Historic!$B:$B,"=" &amp; $B59),"")</f>
        <v>179</v>
      </c>
      <c r="F59" s="59">
        <f>IF(A59,-SUMIFS(Historic!$G:$G,Historic!$A:$A,"&lt;" &amp; $A59,Historic!$B:$B,"=" &amp; $B59,Historic!$F:$F,"&lt;&gt;0"),"")</f>
        <v>19387.61</v>
      </c>
      <c r="G59" s="9">
        <f t="shared" si="1"/>
        <v>0.002928158757</v>
      </c>
    </row>
    <row r="60">
      <c r="A60" s="57">
        <f>IFERROR(__xludf.DUMMYFUNCTION("""COMPUTED_VALUE"""),42835.0)</f>
        <v>42835</v>
      </c>
      <c r="B60" t="str">
        <f>IFERROR(__xludf.DUMMYFUNCTION("""COMPUTED_VALUE"""),"Stocks")</f>
        <v>Stocks</v>
      </c>
      <c r="C60" t="str">
        <f>IFERROR(__xludf.DUMMYFUNCTION("""COMPUTED_VALUE"""),"Vanguard Total Stock Market ETF")</f>
        <v>Vanguard Total Stock Market ETF</v>
      </c>
      <c r="D60" s="59">
        <f>IFERROR(__xludf.DUMMYFUNCTION("""COMPUTED_VALUE"""),29.55)</f>
        <v>29.55</v>
      </c>
      <c r="E60">
        <f>IF(A60,SUMIFS(Historic!$E:$E,Historic!$A:$A,"&lt;" &amp; $A60,Historic!$B:$B,"=" &amp; $B60),"")</f>
        <v>120</v>
      </c>
      <c r="F60" s="59">
        <f>IF(A60,-SUMIFS(Historic!$G:$G,Historic!$A:$A,"&lt;" &amp; $A60,Historic!$B:$B,"=" &amp; $B60,Historic!$F:$F,"&lt;&gt;0"),"")</f>
        <v>11230.91</v>
      </c>
      <c r="G60" s="9">
        <f t="shared" si="1"/>
        <v>0.002631131404</v>
      </c>
    </row>
    <row r="61">
      <c r="A61" s="57">
        <f>IFERROR(__xludf.DUMMYFUNCTION("""COMPUTED_VALUE"""),42803.0)</f>
        <v>42803</v>
      </c>
      <c r="B61" t="str">
        <f>IFERROR(__xludf.DUMMYFUNCTION("""COMPUTED_VALUE"""),"Intermediate US bonds (7-10 year)")</f>
        <v>Intermediate US bonds (7-10 year)</v>
      </c>
      <c r="C61" t="str">
        <f>IFERROR(__xludf.DUMMYFUNCTION("""COMPUTED_VALUE"""),"iShares 7-10 Year Treasury Bond ETF")</f>
        <v>iShares 7-10 Year Treasury Bond ETF</v>
      </c>
      <c r="D61" s="59">
        <f>IFERROR(__xludf.DUMMYFUNCTION("""COMPUTED_VALUE"""),4.5)</f>
        <v>4.5</v>
      </c>
      <c r="E61">
        <f>IF(A61,SUMIFS(Historic!$E:$E,Historic!$A:$A,"&lt;" &amp; $A61,Historic!$B:$B,"=" &amp; $B61),"")</f>
        <v>67</v>
      </c>
      <c r="F61" s="59">
        <f>IF(A61,-SUMIFS(Historic!$G:$G,Historic!$A:$A,"&lt;" &amp; $A61,Historic!$B:$B,"=" &amp; $B61,Historic!$F:$F,"&lt;&gt;0"),"")</f>
        <v>6580.49</v>
      </c>
      <c r="G61" s="9">
        <f t="shared" si="1"/>
        <v>0.0006838396533</v>
      </c>
    </row>
    <row r="62">
      <c r="A62" s="57">
        <f>IFERROR(__xludf.DUMMYFUNCTION("""COMPUTED_VALUE"""),42776.0)</f>
        <v>42776</v>
      </c>
      <c r="B62" t="str">
        <f>IFERROR(__xludf.DUMMYFUNCTION("""COMPUTED_VALUE"""),"Intermediate US bonds (7-10 year)")</f>
        <v>Intermediate US bonds (7-10 year)</v>
      </c>
      <c r="C62" t="str">
        <f>IFERROR(__xludf.DUMMYFUNCTION("""COMPUTED_VALUE"""),"iShares 7-10 Year Treasury Bond ETF")</f>
        <v>iShares 7-10 Year Treasury Bond ETF</v>
      </c>
      <c r="D62" s="59">
        <f>IFERROR(__xludf.DUMMYFUNCTION("""COMPUTED_VALUE"""),4.87)</f>
        <v>4.87</v>
      </c>
      <c r="E62">
        <f>IF(A62,SUMIFS(Historic!$E:$E,Historic!$A:$A,"&lt;" &amp; $A62,Historic!$B:$B,"=" &amp; $B62),"")</f>
        <v>67</v>
      </c>
      <c r="F62" s="59">
        <f>IF(A62,-SUMIFS(Historic!$G:$G,Historic!$A:$A,"&lt;" &amp; $A62,Historic!$B:$B,"=" &amp; $B62,Historic!$F:$F,"&lt;&gt;0"),"")</f>
        <v>6580.49</v>
      </c>
      <c r="G62" s="9">
        <f t="shared" si="1"/>
        <v>0.0007400664692</v>
      </c>
    </row>
    <row r="63">
      <c r="A63" s="57">
        <f>IFERROR(__xludf.DUMMYFUNCTION("""COMPUTED_VALUE"""),42738.0)</f>
        <v>42738</v>
      </c>
      <c r="B63" t="str">
        <f>IFERROR(__xludf.DUMMYFUNCTION("""COMPUTED_VALUE"""),"Intermediate US bonds (7-10 year)")</f>
        <v>Intermediate US bonds (7-10 year)</v>
      </c>
      <c r="C63" t="str">
        <f>IFERROR(__xludf.DUMMYFUNCTION("""COMPUTED_VALUE"""),"iShares 7-10 Year Treasury Bond ETF")</f>
        <v>iShares 7-10 Year Treasury Bond ETF</v>
      </c>
      <c r="D63" s="59">
        <f>IFERROR(__xludf.DUMMYFUNCTION("""COMPUTED_VALUE"""),5.12)</f>
        <v>5.12</v>
      </c>
      <c r="E63">
        <f>IF(A63,SUMIFS(Historic!$E:$E,Historic!$A:$A,"&lt;" &amp; $A63,Historic!$B:$B,"=" &amp; $B63),"")</f>
        <v>67</v>
      </c>
      <c r="F63" s="59">
        <f>IF(A63,-SUMIFS(Historic!$G:$G,Historic!$A:$A,"&lt;" &amp; $A63,Historic!$B:$B,"=" &amp; $B63,Historic!$F:$F,"&lt;&gt;0"),"")</f>
        <v>6580.49</v>
      </c>
      <c r="G63" s="9">
        <f t="shared" si="1"/>
        <v>0.0007780575611</v>
      </c>
    </row>
    <row r="64">
      <c r="A64" s="57">
        <f>IFERROR(__xludf.DUMMYFUNCTION("""COMPUTED_VALUE"""),42737.0)</f>
        <v>42737</v>
      </c>
      <c r="B64" t="str">
        <f>IFERROR(__xludf.DUMMYFUNCTION("""COMPUTED_VALUE"""),"Long term US bonds (20-25 year)")</f>
        <v>Long term US bonds (20-25 year)</v>
      </c>
      <c r="C64" t="str">
        <f>IFERROR(__xludf.DUMMYFUNCTION("""COMPUTED_VALUE"""),"Vanguard Extended Duration Treasury ETF")</f>
        <v>Vanguard Extended Duration Treasury ETF</v>
      </c>
      <c r="D64" s="59">
        <f>IFERROR(__xludf.DUMMYFUNCTION("""COMPUTED_VALUE"""),2.51)</f>
        <v>2.51</v>
      </c>
      <c r="E64">
        <f>IF(A64,SUMIFS(Historic!$E:$E,Historic!$A:$A,"&lt;" &amp; $A64,Historic!$B:$B,"=" &amp; $B64),"")</f>
        <v>156</v>
      </c>
      <c r="F64" s="59">
        <f>IF(A64,-SUMIFS(Historic!$G:$G,Historic!$A:$A,"&lt;" &amp; $A64,Historic!$B:$B,"=" &amp; $B64,Historic!$F:$F,"&lt;&gt;0"),"")</f>
        <v>16949.91</v>
      </c>
      <c r="G64" s="9">
        <f t="shared" si="1"/>
        <v>0.0001480833822</v>
      </c>
    </row>
    <row r="65">
      <c r="A65" s="57">
        <f>IFERROR(__xludf.DUMMYFUNCTION("""COMPUTED_VALUE"""),42737.0)</f>
        <v>42737</v>
      </c>
      <c r="B65" t="str">
        <f>IFERROR(__xludf.DUMMYFUNCTION("""COMPUTED_VALUE"""),"Long term US bonds (20-25 year)")</f>
        <v>Long term US bonds (20-25 year)</v>
      </c>
      <c r="C65" t="str">
        <f>IFERROR(__xludf.DUMMYFUNCTION("""COMPUTED_VALUE"""),"Vanguard Extended Duration Treasury ETF")</f>
        <v>Vanguard Extended Duration Treasury ETF</v>
      </c>
      <c r="D65" s="59">
        <f>IFERROR(__xludf.DUMMYFUNCTION("""COMPUTED_VALUE"""),230.23)</f>
        <v>230.23</v>
      </c>
      <c r="E65">
        <f>IF(A65,SUMIFS(Historic!$E:$E,Historic!$A:$A,"&lt;" &amp; $A65,Historic!$B:$B,"=" &amp; $B65),"")</f>
        <v>156</v>
      </c>
      <c r="F65" s="59">
        <f>IF(A65,-SUMIFS(Historic!$G:$G,Historic!$A:$A,"&lt;" &amp; $A65,Historic!$B:$B,"=" &amp; $B65,Historic!$F:$F,"&lt;&gt;0"),"")</f>
        <v>16949.91</v>
      </c>
      <c r="G65" s="9">
        <f t="shared" si="1"/>
        <v>0.01358296298</v>
      </c>
    </row>
    <row r="66">
      <c r="A66" s="57">
        <f>IFERROR(__xludf.DUMMYFUNCTION("""COMPUTED_VALUE"""),42733.0)</f>
        <v>42733</v>
      </c>
      <c r="B66" t="str">
        <f>IFERROR(__xludf.DUMMYFUNCTION("""COMPUTED_VALUE"""),"Long term US bonds (20-25 year)")</f>
        <v>Long term US bonds (20-25 year)</v>
      </c>
      <c r="C66" t="str">
        <f>IFERROR(__xludf.DUMMYFUNCTION("""COMPUTED_VALUE"""),"Vanguard Extended Duration Treasury ETF")</f>
        <v>Vanguard Extended Duration Treasury ETF</v>
      </c>
      <c r="D66" s="59">
        <f>IFERROR(__xludf.DUMMYFUNCTION("""COMPUTED_VALUE"""),71.1)</f>
        <v>71.1</v>
      </c>
      <c r="E66">
        <f>IF(A66,SUMIFS(Historic!$E:$E,Historic!$A:$A,"&lt;" &amp; $A66,Historic!$B:$B,"=" &amp; $B66),"")</f>
        <v>156</v>
      </c>
      <c r="F66" s="59">
        <f>IF(A66,-SUMIFS(Historic!$G:$G,Historic!$A:$A,"&lt;" &amp; $A66,Historic!$B:$B,"=" &amp; $B66,Historic!$F:$F,"&lt;&gt;0"),"")</f>
        <v>16949.91</v>
      </c>
      <c r="G66" s="9">
        <f t="shared" si="1"/>
        <v>0.004194712538</v>
      </c>
    </row>
    <row r="67">
      <c r="A67" s="57">
        <f>IFERROR(__xludf.DUMMYFUNCTION("""COMPUTED_VALUE"""),42733.0)</f>
        <v>42733</v>
      </c>
      <c r="B67" t="str">
        <f>IFERROR(__xludf.DUMMYFUNCTION("""COMPUTED_VALUE"""),"Stocks")</f>
        <v>Stocks</v>
      </c>
      <c r="C67" t="str">
        <f>IFERROR(__xludf.DUMMYFUNCTION("""COMPUTED_VALUE"""),"Vanguard Total Stock Market ETF")</f>
        <v>Vanguard Total Stock Market ETF</v>
      </c>
      <c r="D67" s="59">
        <f>IFERROR(__xludf.DUMMYFUNCTION("""COMPUTED_VALUE"""),46.16)</f>
        <v>46.16</v>
      </c>
      <c r="E67">
        <f>IF(A67,SUMIFS(Historic!$E:$E,Historic!$A:$A,"&lt;" &amp; $A67,Historic!$B:$B,"=" &amp; $B67),"")</f>
        <v>136</v>
      </c>
      <c r="F67" s="59">
        <f>IF(A67,-SUMIFS(Historic!$G:$G,Historic!$A:$A,"&lt;" &amp; $A67,Historic!$B:$B,"=" &amp; $B67,Historic!$F:$F,"&lt;&gt;0"),"")</f>
        <v>13052.9</v>
      </c>
      <c r="G67" s="9">
        <f t="shared" si="1"/>
        <v>0.003536378889</v>
      </c>
    </row>
    <row r="68">
      <c r="A68" s="57">
        <f>IFERROR(__xludf.DUMMYFUNCTION("""COMPUTED_VALUE"""),42713.0)</f>
        <v>42713</v>
      </c>
      <c r="B68" t="str">
        <f>IFERROR(__xludf.DUMMYFUNCTION("""COMPUTED_VALUE"""),"Intermediate US bonds (7-10 year)")</f>
        <v>Intermediate US bonds (7-10 year)</v>
      </c>
      <c r="C68" t="str">
        <f>IFERROR(__xludf.DUMMYFUNCTION("""COMPUTED_VALUE"""),"iShares 7-10 Year Treasury Bond ETF")</f>
        <v>iShares 7-10 Year Treasury Bond ETF</v>
      </c>
      <c r="D68" s="59">
        <f>IFERROR(__xludf.DUMMYFUNCTION("""COMPUTED_VALUE"""),4.57)</f>
        <v>4.57</v>
      </c>
      <c r="E68">
        <f>IF(A68,SUMIFS(Historic!$E:$E,Historic!$A:$A,"&lt;" &amp; $A68,Historic!$B:$B,"=" &amp; $B68),"")</f>
        <v>67</v>
      </c>
      <c r="F68" s="59">
        <f>IF(A68,-SUMIFS(Historic!$G:$G,Historic!$A:$A,"&lt;" &amp; $A68,Historic!$B:$B,"=" &amp; $B68,Historic!$F:$F,"&lt;&gt;0"),"")</f>
        <v>6580.49</v>
      </c>
      <c r="G68" s="9">
        <f t="shared" si="1"/>
        <v>0.000694477159</v>
      </c>
    </row>
    <row r="69">
      <c r="A69" s="57">
        <f>IFERROR(__xludf.DUMMYFUNCTION("""COMPUTED_VALUE"""),42683.0)</f>
        <v>42683</v>
      </c>
      <c r="B69" t="str">
        <f>IFERROR(__xludf.DUMMYFUNCTION("""COMPUTED_VALUE"""),"Intermediate US bonds (7-10 year)")</f>
        <v>Intermediate US bonds (7-10 year)</v>
      </c>
      <c r="C69" t="str">
        <f>IFERROR(__xludf.DUMMYFUNCTION("""COMPUTED_VALUE"""),"iShares 7-10 Year Treasury Bond ETF")</f>
        <v>iShares 7-10 Year Treasury Bond ETF</v>
      </c>
      <c r="D69" s="59">
        <f>IFERROR(__xludf.DUMMYFUNCTION("""COMPUTED_VALUE"""),4.57)</f>
        <v>4.57</v>
      </c>
      <c r="E69">
        <f>IF(A69,SUMIFS(Historic!$E:$E,Historic!$A:$A,"&lt;" &amp; $A69,Historic!$B:$B,"=" &amp; $B69),"")</f>
        <v>67</v>
      </c>
      <c r="F69" s="59">
        <f>IF(A69,-SUMIFS(Historic!$G:$G,Historic!$A:$A,"&lt;" &amp; $A69,Historic!$B:$B,"=" &amp; $B69,Historic!$F:$F,"&lt;&gt;0"),"")</f>
        <v>6580.49</v>
      </c>
      <c r="G69" s="9">
        <f t="shared" si="1"/>
        <v>0.000694477159</v>
      </c>
    </row>
    <row r="70">
      <c r="A70" s="57">
        <f>IFERROR(__xludf.DUMMYFUNCTION("""COMPUTED_VALUE"""),42644.0)</f>
        <v>42644</v>
      </c>
      <c r="B70" t="str">
        <f>IFERROR(__xludf.DUMMYFUNCTION("""COMPUTED_VALUE"""),"Intermediate US bonds (7-10 year)")</f>
        <v>Intermediate US bonds (7-10 year)</v>
      </c>
      <c r="C70" t="str">
        <f>IFERROR(__xludf.DUMMYFUNCTION("""COMPUTED_VALUE"""),"iShares 7-10 Year Treasury Bond ETF")</f>
        <v>iShares 7-10 Year Treasury Bond ETF</v>
      </c>
      <c r="D70" s="59">
        <f>IFERROR(__xludf.DUMMYFUNCTION("""COMPUTED_VALUE"""),4.4)</f>
        <v>4.4</v>
      </c>
      <c r="E70">
        <f>IF(A70,SUMIFS(Historic!$E:$E,Historic!$A:$A,"&lt;" &amp; $A70,Historic!$B:$B,"=" &amp; $B70),"")</f>
        <v>67</v>
      </c>
      <c r="F70" s="59">
        <f>IF(A70,-SUMIFS(Historic!$G:$G,Historic!$A:$A,"&lt;" &amp; $A70,Historic!$B:$B,"=" &amp; $B70,Historic!$F:$F,"&lt;&gt;0"),"")</f>
        <v>6580.49</v>
      </c>
      <c r="G70" s="9">
        <f t="shared" si="1"/>
        <v>0.0006686432165</v>
      </c>
    </row>
    <row r="71">
      <c r="A71" s="57">
        <f>IFERROR(__xludf.DUMMYFUNCTION("""COMPUTED_VALUE"""),42641.0)</f>
        <v>42641</v>
      </c>
      <c r="B71" t="str">
        <f>IFERROR(__xludf.DUMMYFUNCTION("""COMPUTED_VALUE"""),"Long term US bonds (20-25 year)")</f>
        <v>Long term US bonds (20-25 year)</v>
      </c>
      <c r="C71" t="str">
        <f>IFERROR(__xludf.DUMMYFUNCTION("""COMPUTED_VALUE"""),"Vanguard Extended Duration Treasury ETF")</f>
        <v>Vanguard Extended Duration Treasury ETF</v>
      </c>
      <c r="D71" s="59">
        <f>IFERROR(__xludf.DUMMYFUNCTION("""COMPUTED_VALUE"""),58.66)</f>
        <v>58.66</v>
      </c>
      <c r="E71">
        <f>IF(A71,SUMIFS(Historic!$E:$E,Historic!$A:$A,"&lt;" &amp; $A71,Historic!$B:$B,"=" &amp; $B71),"")</f>
        <v>156</v>
      </c>
      <c r="F71" s="59">
        <f>IF(A71,-SUMIFS(Historic!$G:$G,Historic!$A:$A,"&lt;" &amp; $A71,Historic!$B:$B,"=" &amp; $B71,Historic!$F:$F,"&lt;&gt;0"),"")</f>
        <v>16949.91</v>
      </c>
      <c r="G71" s="9">
        <f t="shared" si="1"/>
        <v>0.003460785338</v>
      </c>
    </row>
    <row r="72">
      <c r="A72" s="57">
        <f>IFERROR(__xludf.DUMMYFUNCTION("""COMPUTED_VALUE"""),42634.0)</f>
        <v>42634</v>
      </c>
      <c r="B72" t="str">
        <f>IFERROR(__xludf.DUMMYFUNCTION("""COMPUTED_VALUE"""),"Stocks")</f>
        <v>Stocks</v>
      </c>
      <c r="C72" t="str">
        <f>IFERROR(__xludf.DUMMYFUNCTION("""COMPUTED_VALUE"""),"Vanguard Total Stock Market ETF")</f>
        <v>Vanguard Total Stock Market ETF</v>
      </c>
      <c r="D72" s="59">
        <f>IFERROR(__xludf.DUMMYFUNCTION("""COMPUTED_VALUE"""),31.85)</f>
        <v>31.85</v>
      </c>
      <c r="E72">
        <f>IF(A72,SUMIFS(Historic!$E:$E,Historic!$A:$A,"&lt;" &amp; $A72,Historic!$B:$B,"=" &amp; $B72),"")</f>
        <v>136</v>
      </c>
      <c r="F72" s="59">
        <f>IF(A72,-SUMIFS(Historic!$G:$G,Historic!$A:$A,"&lt;" &amp; $A72,Historic!$B:$B,"=" &amp; $B72,Historic!$F:$F,"&lt;&gt;0"),"")</f>
        <v>13052.9</v>
      </c>
      <c r="G72" s="9">
        <f t="shared" si="1"/>
        <v>0.002440070789</v>
      </c>
    </row>
    <row r="73">
      <c r="A73" s="57">
        <f>IFERROR(__xludf.DUMMYFUNCTION("""COMPUTED_VALUE"""),42632.0)</f>
        <v>42632</v>
      </c>
      <c r="B73" t="str">
        <f>IFERROR(__xludf.DUMMYFUNCTION("""COMPUTED_VALUE"""),"Intermediate US bonds (7-10 year)")</f>
        <v>Intermediate US bonds (7-10 year)</v>
      </c>
      <c r="C73" t="str">
        <f>IFERROR(__xludf.DUMMYFUNCTION("""COMPUTED_VALUE"""),"iShares 7-10 Year Treasury Bond ETF")</f>
        <v>iShares 7-10 Year Treasury Bond ETF</v>
      </c>
      <c r="D73" s="59">
        <f>IFERROR(__xludf.DUMMYFUNCTION("""COMPUTED_VALUE"""),3.31)</f>
        <v>3.31</v>
      </c>
      <c r="E73">
        <f>IF(A73,SUMIFS(Historic!$E:$E,Historic!$A:$A,"&lt;" &amp; $A73,Historic!$B:$B,"=" &amp; $B73),"")</f>
        <v>67</v>
      </c>
      <c r="F73" s="59">
        <f>IF(A73,-SUMIFS(Historic!$G:$G,Historic!$A:$A,"&lt;" &amp; $A73,Historic!$B:$B,"=" &amp; $B73,Historic!$F:$F,"&lt;&gt;0"),"")</f>
        <v>6580.49</v>
      </c>
      <c r="G73" s="9">
        <f t="shared" si="1"/>
        <v>0.0005030020561</v>
      </c>
    </row>
    <row r="74">
      <c r="A74" s="57">
        <f>IFERROR(__xludf.DUMMYFUNCTION("""COMPUTED_VALUE"""),42632.0)</f>
        <v>42632</v>
      </c>
      <c r="B74" t="str">
        <f>IFERROR(__xludf.DUMMYFUNCTION("""COMPUTED_VALUE"""),"Long term US bonds (20-25 year)")</f>
        <v>Long term US bonds (20-25 year)</v>
      </c>
      <c r="C74" t="str">
        <f>IFERROR(__xludf.DUMMYFUNCTION("""COMPUTED_VALUE"""),"Vanguard Extended Duration Treasury ETF")</f>
        <v>Vanguard Extended Duration Treasury ETF</v>
      </c>
      <c r="D74" s="59">
        <f>IFERROR(__xludf.DUMMYFUNCTION("""COMPUTED_VALUE"""),21.31)</f>
        <v>21.31</v>
      </c>
      <c r="E74">
        <f>IF(A74,SUMIFS(Historic!$E:$E,Historic!$A:$A,"&lt;" &amp; $A74,Historic!$B:$B,"=" &amp; $B74),"")</f>
        <v>156</v>
      </c>
      <c r="F74" s="59">
        <f>IF(A74,-SUMIFS(Historic!$G:$G,Historic!$A:$A,"&lt;" &amp; $A74,Historic!$B:$B,"=" &amp; $B74,Historic!$F:$F,"&lt;&gt;0"),"")</f>
        <v>16949.91</v>
      </c>
      <c r="G74" s="9">
        <f t="shared" si="1"/>
        <v>0.001257233814</v>
      </c>
    </row>
    <row r="75">
      <c r="A75" s="57">
        <f>IFERROR(__xludf.DUMMYFUNCTION("""COMPUTED_VALUE"""),42625.0)</f>
        <v>42625</v>
      </c>
      <c r="B75" t="str">
        <f>IFERROR(__xludf.DUMMYFUNCTION("""COMPUTED_VALUE"""),"Intermediate US bonds (7-10 year)")</f>
        <v>Intermediate US bonds (7-10 year)</v>
      </c>
      <c r="C75" t="str">
        <f>IFERROR(__xludf.DUMMYFUNCTION("""COMPUTED_VALUE"""),"iShares 7-10 Year Treasury Bond ETF")</f>
        <v>iShares 7-10 Year Treasury Bond ETF</v>
      </c>
      <c r="D75" s="59">
        <f>IFERROR(__xludf.DUMMYFUNCTION("""COMPUTED_VALUE"""),4.53)</f>
        <v>4.53</v>
      </c>
      <c r="E75">
        <f>IF(A75,SUMIFS(Historic!$E:$E,Historic!$A:$A,"&lt;" &amp; $A75,Historic!$B:$B,"=" &amp; $B75),"")</f>
        <v>67</v>
      </c>
      <c r="F75" s="59">
        <f>IF(A75,-SUMIFS(Historic!$G:$G,Historic!$A:$A,"&lt;" &amp; $A75,Historic!$B:$B,"=" &amp; $B75,Historic!$F:$F,"&lt;&gt;0"),"")</f>
        <v>6580.49</v>
      </c>
      <c r="G75" s="9">
        <f t="shared" si="1"/>
        <v>0.0006883985843</v>
      </c>
    </row>
    <row r="76">
      <c r="A76" s="57">
        <f>IFERROR(__xludf.DUMMYFUNCTION("""COMPUTED_VALUE"""),42605.0)</f>
        <v>42605</v>
      </c>
      <c r="B76" t="str">
        <f>IFERROR(__xludf.DUMMYFUNCTION("""COMPUTED_VALUE"""),"Intermediate US bonds (7-10 year)")</f>
        <v>Intermediate US bonds (7-10 year)</v>
      </c>
      <c r="C76" t="str">
        <f>IFERROR(__xludf.DUMMYFUNCTION("""COMPUTED_VALUE"""),"iShares 7-10 Year Treasury Bond ETF")</f>
        <v>iShares 7-10 Year Treasury Bond ETF</v>
      </c>
      <c r="D76" s="59">
        <f>IFERROR(__xludf.DUMMYFUNCTION("""COMPUTED_VALUE"""),4.7)</f>
        <v>4.7</v>
      </c>
      <c r="E76">
        <f>IF(A76,SUMIFS(Historic!$E:$E,Historic!$A:$A,"&lt;" &amp; $A76,Historic!$B:$B,"=" &amp; $B76),"")</f>
        <v>67</v>
      </c>
      <c r="F76" s="59">
        <f>IF(A76,-SUMIFS(Historic!$G:$G,Historic!$A:$A,"&lt;" &amp; $A76,Historic!$B:$B,"=" &amp; $B76,Historic!$F:$F,"&lt;&gt;0"),"")</f>
        <v>6580.49</v>
      </c>
      <c r="G76" s="9">
        <f t="shared" si="1"/>
        <v>0.0007142325268</v>
      </c>
    </row>
    <row r="77">
      <c r="A77" s="57">
        <f>IFERROR(__xludf.DUMMYFUNCTION("""COMPUTED_VALUE"""),42563.0)</f>
        <v>42563</v>
      </c>
      <c r="B77" t="str">
        <f>IFERROR(__xludf.DUMMYFUNCTION("""COMPUTED_VALUE"""),"Intermediate US bonds (7-10 year)")</f>
        <v>Intermediate US bonds (7-10 year)</v>
      </c>
      <c r="C77" t="str">
        <f>IFERROR(__xludf.DUMMYFUNCTION("""COMPUTED_VALUE"""),"iShares 7-10 Year Treasury Bond ETF")</f>
        <v>iShares 7-10 Year Treasury Bond ETF</v>
      </c>
      <c r="D77" s="59">
        <f>IFERROR(__xludf.DUMMYFUNCTION("""COMPUTED_VALUE"""),4.69)</f>
        <v>4.69</v>
      </c>
      <c r="E77">
        <f>IF(A77,SUMIFS(Historic!$E:$E,Historic!$A:$A,"&lt;" &amp; $A77,Historic!$B:$B,"=" &amp; $B77),"")</f>
        <v>67</v>
      </c>
      <c r="F77" s="59">
        <f>IF(A77,-SUMIFS(Historic!$G:$G,Historic!$A:$A,"&lt;" &amp; $A77,Historic!$B:$B,"=" &amp; $B77,Historic!$F:$F,"&lt;&gt;0"),"")</f>
        <v>6580.49</v>
      </c>
      <c r="G77" s="9">
        <f t="shared" si="1"/>
        <v>0.0007127128831</v>
      </c>
    </row>
    <row r="78">
      <c r="A78" s="57">
        <f>IFERROR(__xludf.DUMMYFUNCTION("""COMPUTED_VALUE"""),42551.0)</f>
        <v>42551</v>
      </c>
      <c r="B78" t="str">
        <f>IFERROR(__xludf.DUMMYFUNCTION("""COMPUTED_VALUE"""),"Stocks")</f>
        <v>Stocks</v>
      </c>
      <c r="C78" t="str">
        <f>IFERROR(__xludf.DUMMYFUNCTION("""COMPUTED_VALUE"""),"Vanguard Total Stock Market ETF")</f>
        <v>Vanguard Total Stock Market ETF</v>
      </c>
      <c r="D78" s="59">
        <f>IFERROR(__xludf.DUMMYFUNCTION("""COMPUTED_VALUE"""),27.41)</f>
        <v>27.41</v>
      </c>
      <c r="E78">
        <f>IF(A78,SUMIFS(Historic!$E:$E,Historic!$A:$A,"&lt;" &amp; $A78,Historic!$B:$B,"=" &amp; $B78),"")</f>
        <v>136</v>
      </c>
      <c r="F78" s="59">
        <f>IF(A78,-SUMIFS(Historic!$G:$G,Historic!$A:$A,"&lt;" &amp; $A78,Historic!$B:$B,"=" &amp; $B78,Historic!$F:$F,"&lt;&gt;0"),"")</f>
        <v>13052.9</v>
      </c>
      <c r="G78" s="9">
        <f t="shared" si="1"/>
        <v>0.002099916494</v>
      </c>
    </row>
    <row r="79">
      <c r="A79" s="57">
        <f>IFERROR(__xludf.DUMMYFUNCTION("""COMPUTED_VALUE"""),42550.0)</f>
        <v>42550</v>
      </c>
      <c r="B79" t="str">
        <f>IFERROR(__xludf.DUMMYFUNCTION("""COMPUTED_VALUE"""),"Long term US bonds (20-25 year)")</f>
        <v>Long term US bonds (20-25 year)</v>
      </c>
      <c r="C79" t="str">
        <f>IFERROR(__xludf.DUMMYFUNCTION("""COMPUTED_VALUE"""),"Vanguard Extended Duration Treasury ETF")</f>
        <v>Vanguard Extended Duration Treasury ETF</v>
      </c>
      <c r="D79" s="59">
        <f>IFERROR(__xludf.DUMMYFUNCTION("""COMPUTED_VALUE"""),56.25)</f>
        <v>56.25</v>
      </c>
      <c r="E79">
        <f>IF(A79,SUMIFS(Historic!$E:$E,Historic!$A:$A,"&lt;" &amp; $A79,Historic!$B:$B,"=" &amp; $B79),"")</f>
        <v>156</v>
      </c>
      <c r="F79" s="59">
        <f>IF(A79,-SUMIFS(Historic!$G:$G,Historic!$A:$A,"&lt;" &amp; $A79,Historic!$B:$B,"=" &amp; $B79,Historic!$F:$F,"&lt;&gt;0"),"")</f>
        <v>16949.91</v>
      </c>
      <c r="G79" s="9">
        <f t="shared" si="1"/>
        <v>0.003318601692</v>
      </c>
    </row>
    <row r="80">
      <c r="A80" s="57">
        <f>IFERROR(__xludf.DUMMYFUNCTION("""COMPUTED_VALUE"""),42536.0)</f>
        <v>42536</v>
      </c>
      <c r="B80" t="str">
        <f>IFERROR(__xludf.DUMMYFUNCTION("""COMPUTED_VALUE"""),"Intermediate US bonds (7-10 year)")</f>
        <v>Intermediate US bonds (7-10 year)</v>
      </c>
      <c r="C80" t="str">
        <f>IFERROR(__xludf.DUMMYFUNCTION("""COMPUTED_VALUE"""),"iShares 7-10 Year Treasury Bond ETF")</f>
        <v>iShares 7-10 Year Treasury Bond ETF</v>
      </c>
      <c r="D80" s="59">
        <f>IFERROR(__xludf.DUMMYFUNCTION("""COMPUTED_VALUE"""),4.72)</f>
        <v>4.72</v>
      </c>
      <c r="E80">
        <f>IF(A80,SUMIFS(Historic!$E:$E,Historic!$A:$A,"&lt;" &amp; $A80,Historic!$B:$B,"=" &amp; $B80),"")</f>
        <v>67</v>
      </c>
      <c r="F80" s="59">
        <f>IF(A80,-SUMIFS(Historic!$G:$G,Historic!$A:$A,"&lt;" &amp; $A80,Historic!$B:$B,"=" &amp; $B80,Historic!$F:$F,"&lt;&gt;0"),"")</f>
        <v>6580.49</v>
      </c>
      <c r="G80" s="9">
        <f t="shared" si="1"/>
        <v>0.0007172718141</v>
      </c>
    </row>
    <row r="81">
      <c r="A81" s="57">
        <f>IFERROR(__xludf.DUMMYFUNCTION("""COMPUTED_VALUE"""),42501.0)</f>
        <v>42501</v>
      </c>
      <c r="B81" t="str">
        <f>IFERROR(__xludf.DUMMYFUNCTION("""COMPUTED_VALUE"""),"Intermediate US bonds (7-10 year)")</f>
        <v>Intermediate US bonds (7-10 year)</v>
      </c>
      <c r="C81" t="str">
        <f>IFERROR(__xludf.DUMMYFUNCTION("""COMPUTED_VALUE"""),"iShares 7-10 Year Treasury Bond ETF")</f>
        <v>iShares 7-10 Year Treasury Bond ETF</v>
      </c>
      <c r="D81" s="59">
        <f>IFERROR(__xludf.DUMMYFUNCTION("""COMPUTED_VALUE"""),4.65)</f>
        <v>4.65</v>
      </c>
      <c r="E81">
        <f>IF(A81,SUMIFS(Historic!$E:$E,Historic!$A:$A,"&lt;" &amp; $A81,Historic!$B:$B,"=" &amp; $B81),"")</f>
        <v>67</v>
      </c>
      <c r="F81" s="59">
        <f>IF(A81,-SUMIFS(Historic!$G:$G,Historic!$A:$A,"&lt;" &amp; $A81,Historic!$B:$B,"=" &amp; $B81,Historic!$F:$F,"&lt;&gt;0"),"")</f>
        <v>6580.49</v>
      </c>
      <c r="G81" s="9">
        <f t="shared" si="1"/>
        <v>0.0007066343084</v>
      </c>
    </row>
    <row r="82">
      <c r="A82" s="57">
        <f>IFERROR(__xludf.DUMMYFUNCTION("""COMPUTED_VALUE"""),42471.0)</f>
        <v>42471</v>
      </c>
      <c r="B82" t="str">
        <f>IFERROR(__xludf.DUMMYFUNCTION("""COMPUTED_VALUE"""),"Intermediate US bonds (7-10 year)")</f>
        <v>Intermediate US bonds (7-10 year)</v>
      </c>
      <c r="C82" t="str">
        <f>IFERROR(__xludf.DUMMYFUNCTION("""COMPUTED_VALUE"""),"iShares 7-10 Year Treasury Bond ETF")</f>
        <v>iShares 7-10 Year Treasury Bond ETF</v>
      </c>
      <c r="D82" s="59">
        <f>IFERROR(__xludf.DUMMYFUNCTION("""COMPUTED_VALUE"""),4.08)</f>
        <v>4.08</v>
      </c>
      <c r="E82">
        <f>IF(A82,SUMIFS(Historic!$E:$E,Historic!$A:$A,"&lt;" &amp; $A82,Historic!$B:$B,"=" &amp; $B82),"")</f>
        <v>56</v>
      </c>
      <c r="F82" s="59">
        <f>IF(A82,-SUMIFS(Historic!$G:$G,Historic!$A:$A,"&lt;" &amp; $A82,Historic!$B:$B,"=" &amp; $B82,Historic!$F:$F,"&lt;&gt;0"),"")</f>
        <v>5497.21</v>
      </c>
      <c r="G82" s="9">
        <f t="shared" si="1"/>
        <v>0.0007421946769</v>
      </c>
    </row>
    <row r="83">
      <c r="A83" s="57">
        <f>IFERROR(__xludf.DUMMYFUNCTION("""COMPUTED_VALUE"""),42459.0)</f>
        <v>42459</v>
      </c>
      <c r="B83" t="str">
        <f>IFERROR(__xludf.DUMMYFUNCTION("""COMPUTED_VALUE"""),"Long term US bonds (20-25 year)")</f>
        <v>Long term US bonds (20-25 year)</v>
      </c>
      <c r="C83" t="str">
        <f>IFERROR(__xludf.DUMMYFUNCTION("""COMPUTED_VALUE"""),"Vanguard Extended Duration Treasury ETF")</f>
        <v>Vanguard Extended Duration Treasury ETF</v>
      </c>
      <c r="D83" s="59">
        <f>IFERROR(__xludf.DUMMYFUNCTION("""COMPUTED_VALUE"""),41.4)</f>
        <v>41.4</v>
      </c>
      <c r="E83">
        <f>IF(A83,SUMIFS(Historic!$E:$E,Historic!$A:$A,"&lt;" &amp; $A83,Historic!$B:$B,"=" &amp; $B83),"")</f>
        <v>137</v>
      </c>
      <c r="F83" s="59">
        <f>IF(A83,-SUMIFS(Historic!$G:$G,Historic!$A:$A,"&lt;" &amp; $A83,Historic!$B:$B,"=" &amp; $B83,Historic!$F:$F,"&lt;&gt;0"),"")</f>
        <v>14800.9</v>
      </c>
      <c r="G83" s="9">
        <f t="shared" si="1"/>
        <v>0.002797127202</v>
      </c>
    </row>
    <row r="84">
      <c r="A84" s="57">
        <f>IFERROR(__xludf.DUMMYFUNCTION("""COMPUTED_VALUE"""),42452.0)</f>
        <v>42452</v>
      </c>
      <c r="B84" t="str">
        <f>IFERROR(__xludf.DUMMYFUNCTION("""COMPUTED_VALUE"""),"Stocks")</f>
        <v>Stocks</v>
      </c>
      <c r="C84" t="str">
        <f>IFERROR(__xludf.DUMMYFUNCTION("""COMPUTED_VALUE"""),"Vanguard Total Stock Market ETF")</f>
        <v>Vanguard Total Stock Market ETF</v>
      </c>
      <c r="D84" s="59">
        <f>IFERROR(__xludf.DUMMYFUNCTION("""COMPUTED_VALUE"""),23.94)</f>
        <v>23.94</v>
      </c>
      <c r="E84">
        <f>IF(A84,SUMIFS(Historic!$E:$E,Historic!$A:$A,"&lt;" &amp; $A84,Historic!$B:$B,"=" &amp; $B84),"")</f>
        <v>115</v>
      </c>
      <c r="F84" s="59">
        <f>IF(A84,-SUMIFS(Historic!$G:$G,Historic!$A:$A,"&lt;" &amp; $A84,Historic!$B:$B,"=" &amp; $B84,Historic!$F:$F,"&lt;&gt;0"),"")</f>
        <v>11063.36</v>
      </c>
      <c r="G84" s="9">
        <f t="shared" si="1"/>
        <v>0.002163899575</v>
      </c>
    </row>
    <row r="85">
      <c r="A85" s="57">
        <f>IFERROR(__xludf.DUMMYFUNCTION("""COMPUTED_VALUE"""),42437.0)</f>
        <v>42437</v>
      </c>
      <c r="B85" t="str">
        <f>IFERROR(__xludf.DUMMYFUNCTION("""COMPUTED_VALUE"""),"Intermediate US bonds (7-10 year)")</f>
        <v>Intermediate US bonds (7-10 year)</v>
      </c>
      <c r="C85" t="str">
        <f>IFERROR(__xludf.DUMMYFUNCTION("""COMPUTED_VALUE"""),"iShares 7-10 Year Treasury Bond ETF")</f>
        <v>iShares 7-10 Year Treasury Bond ETF</v>
      </c>
      <c r="D85" s="59">
        <f>IFERROR(__xludf.DUMMYFUNCTION("""COMPUTED_VALUE"""),3.92)</f>
        <v>3.92</v>
      </c>
      <c r="E85">
        <f>IF(A85,SUMIFS(Historic!$E:$E,Historic!$A:$A,"&lt;" &amp; $A85,Historic!$B:$B,"=" &amp; $B85),"")</f>
        <v>56</v>
      </c>
      <c r="F85" s="59">
        <f>IF(A85,-SUMIFS(Historic!$G:$G,Historic!$A:$A,"&lt;" &amp; $A85,Historic!$B:$B,"=" &amp; $B85,Historic!$F:$F,"&lt;&gt;0"),"")</f>
        <v>5497.21</v>
      </c>
      <c r="G85" s="9">
        <f t="shared" si="1"/>
        <v>0.0007130890033</v>
      </c>
    </row>
    <row r="86">
      <c r="A86" s="57">
        <f>IFERROR(__xludf.DUMMYFUNCTION("""COMPUTED_VALUE"""),42409.0)</f>
        <v>42409</v>
      </c>
      <c r="B86" t="str">
        <f>IFERROR(__xludf.DUMMYFUNCTION("""COMPUTED_VALUE"""),"Intermediate US bonds (7-10 year)")</f>
        <v>Intermediate US bonds (7-10 year)</v>
      </c>
      <c r="C86" t="str">
        <f>IFERROR(__xludf.DUMMYFUNCTION("""COMPUTED_VALUE"""),"iShares 7-10 Year Treasury Bond ETF")</f>
        <v>iShares 7-10 Year Treasury Bond ETF</v>
      </c>
      <c r="D86" s="59">
        <f>IFERROR(__xludf.DUMMYFUNCTION("""COMPUTED_VALUE"""),3.92)</f>
        <v>3.92</v>
      </c>
      <c r="E86">
        <f>IF(A86,SUMIFS(Historic!$E:$E,Historic!$A:$A,"&lt;" &amp; $A86,Historic!$B:$B,"=" &amp; $B86),"")</f>
        <v>56</v>
      </c>
      <c r="F86" s="59">
        <f>IF(A86,-SUMIFS(Historic!$G:$G,Historic!$A:$A,"&lt;" &amp; $A86,Historic!$B:$B,"=" &amp; $B86,Historic!$F:$F,"&lt;&gt;0"),"")</f>
        <v>5497.21</v>
      </c>
      <c r="G86" s="9">
        <f t="shared" si="1"/>
        <v>0.0007130890033</v>
      </c>
    </row>
    <row r="87">
      <c r="A87" s="57">
        <f>IFERROR(__xludf.DUMMYFUNCTION("""COMPUTED_VALUE"""),42374.0)</f>
        <v>42374</v>
      </c>
      <c r="B87" t="str">
        <f>IFERROR(__xludf.DUMMYFUNCTION("""COMPUTED_VALUE"""),"Stocks")</f>
        <v>Stocks</v>
      </c>
      <c r="C87" t="str">
        <f>IFERROR(__xludf.DUMMYFUNCTION("""COMPUTED_VALUE"""),"Vanguard Total Stock Market ETF")</f>
        <v>Vanguard Total Stock Market ETF</v>
      </c>
      <c r="D87" s="59">
        <f>IFERROR(__xludf.DUMMYFUNCTION("""COMPUTED_VALUE"""),29.75)</f>
        <v>29.75</v>
      </c>
      <c r="E87">
        <f>IF(A87,SUMIFS(Historic!$E:$E,Historic!$A:$A,"&lt;" &amp; $A87,Historic!$B:$B,"=" &amp; $B87),"")</f>
        <v>115</v>
      </c>
      <c r="F87" s="59">
        <f>IF(A87,-SUMIFS(Historic!$G:$G,Historic!$A:$A,"&lt;" &amp; $A87,Historic!$B:$B,"=" &amp; $B87,Historic!$F:$F,"&lt;&gt;0"),"")</f>
        <v>11063.36</v>
      </c>
      <c r="G87" s="9">
        <f t="shared" si="1"/>
        <v>0.002689056489</v>
      </c>
    </row>
    <row r="88">
      <c r="A88" s="57">
        <f>IFERROR(__xludf.DUMMYFUNCTION("""COMPUTED_VALUE"""),42374.0)</f>
        <v>42374</v>
      </c>
      <c r="B88" t="str">
        <f>IFERROR(__xludf.DUMMYFUNCTION("""COMPUTED_VALUE"""),"Intermediate US bonds (7-10 year)")</f>
        <v>Intermediate US bonds (7-10 year)</v>
      </c>
      <c r="C88" t="str">
        <f>IFERROR(__xludf.DUMMYFUNCTION("""COMPUTED_VALUE"""),"iShares 7-10 Year Treasury Bond ETF")</f>
        <v>iShares 7-10 Year Treasury Bond ETF</v>
      </c>
      <c r="D88" s="59">
        <f>IFERROR(__xludf.DUMMYFUNCTION("""COMPUTED_VALUE"""),4.14)</f>
        <v>4.14</v>
      </c>
      <c r="E88">
        <f>IF(A88,SUMIFS(Historic!$E:$E,Historic!$A:$A,"&lt;" &amp; $A88,Historic!$B:$B,"=" &amp; $B88),"")</f>
        <v>56</v>
      </c>
      <c r="F88" s="59">
        <f>IF(A88,-SUMIFS(Historic!$G:$G,Historic!$A:$A,"&lt;" &amp; $A88,Historic!$B:$B,"=" &amp; $B88,Historic!$F:$F,"&lt;&gt;0"),"")</f>
        <v>5497.21</v>
      </c>
      <c r="G88" s="9">
        <f t="shared" si="1"/>
        <v>0.0007531093045</v>
      </c>
    </row>
    <row r="89">
      <c r="A89" s="57">
        <f>IFERROR(__xludf.DUMMYFUNCTION("""COMPUTED_VALUE"""),42373.0)</f>
        <v>42373</v>
      </c>
      <c r="B89" t="str">
        <f>IFERROR(__xludf.DUMMYFUNCTION("""COMPUTED_VALUE"""),"Long term US bonds (20-25 year)")</f>
        <v>Long term US bonds (20-25 year)</v>
      </c>
      <c r="C89" t="str">
        <f>IFERROR(__xludf.DUMMYFUNCTION("""COMPUTED_VALUE"""),"Vanguard Extended Duration Treasury ETF")</f>
        <v>Vanguard Extended Duration Treasury ETF</v>
      </c>
      <c r="D89" s="59">
        <f>IFERROR(__xludf.DUMMYFUNCTION("""COMPUTED_VALUE"""),61.86)</f>
        <v>61.86</v>
      </c>
      <c r="E89">
        <f>IF(A89,SUMIFS(Historic!$E:$E,Historic!$A:$A,"&lt;" &amp; $A89,Historic!$B:$B,"=" &amp; $B89),"")</f>
        <v>137</v>
      </c>
      <c r="F89" s="59">
        <f>IF(A89,-SUMIFS(Historic!$G:$G,Historic!$A:$A,"&lt;" &amp; $A89,Historic!$B:$B,"=" &amp; $B89,Historic!$F:$F,"&lt;&gt;0"),"")</f>
        <v>14800.9</v>
      </c>
      <c r="G89" s="9">
        <f t="shared" si="1"/>
        <v>0.004179475572</v>
      </c>
    </row>
    <row r="90">
      <c r="A90" s="57">
        <f>IFERROR(__xludf.DUMMYFUNCTION("""COMPUTED_VALUE"""),42373.0)</f>
        <v>42373</v>
      </c>
      <c r="B90" t="str">
        <f>IFERROR(__xludf.DUMMYFUNCTION("""COMPUTED_VALUE"""),"Long term US bonds (20-25 year)")</f>
        <v>Long term US bonds (20-25 year)</v>
      </c>
      <c r="C90" t="str">
        <f>IFERROR(__xludf.DUMMYFUNCTION("""COMPUTED_VALUE"""),"Vanguard Extended Duration Treasury ETF")</f>
        <v>Vanguard Extended Duration Treasury ETF</v>
      </c>
      <c r="D90" s="59">
        <f>IFERROR(__xludf.DUMMYFUNCTION("""COMPUTED_VALUE"""),1.85)</f>
        <v>1.85</v>
      </c>
      <c r="E90">
        <f>IF(A90,SUMIFS(Historic!$E:$E,Historic!$A:$A,"&lt;" &amp; $A90,Historic!$B:$B,"=" &amp; $B90),"")</f>
        <v>137</v>
      </c>
      <c r="F90" s="59">
        <f>IF(A90,-SUMIFS(Historic!$G:$G,Historic!$A:$A,"&lt;" &amp; $A90,Historic!$B:$B,"=" &amp; $B90,Historic!$F:$F,"&lt;&gt;0"),"")</f>
        <v>14800.9</v>
      </c>
      <c r="G90" s="9">
        <f t="shared" si="1"/>
        <v>0.0001249923991</v>
      </c>
    </row>
    <row r="91">
      <c r="A91" s="57">
        <f>IFERROR(__xludf.DUMMYFUNCTION("""COMPUTED_VALUE"""),42373.0)</f>
        <v>42373</v>
      </c>
      <c r="B91" t="str">
        <f>IFERROR(__xludf.DUMMYFUNCTION("""COMPUTED_VALUE"""),"Long term US bonds (20-25 year)")</f>
        <v>Long term US bonds (20-25 year)</v>
      </c>
      <c r="C91" t="str">
        <f>IFERROR(__xludf.DUMMYFUNCTION("""COMPUTED_VALUE"""),"Vanguard Extended Duration Treasury ETF")</f>
        <v>Vanguard Extended Duration Treasury ETF</v>
      </c>
      <c r="D91" s="59">
        <f>IFERROR(__xludf.DUMMYFUNCTION("""COMPUTED_VALUE"""),87.38)</f>
        <v>87.38</v>
      </c>
      <c r="E91">
        <f>IF(A91,SUMIFS(Historic!$E:$E,Historic!$A:$A,"&lt;" &amp; $A91,Historic!$B:$B,"=" &amp; $B91),"")</f>
        <v>137</v>
      </c>
      <c r="F91" s="59">
        <f>IF(A91,-SUMIFS(Historic!$G:$G,Historic!$A:$A,"&lt;" &amp; $A91,Historic!$B:$B,"=" &amp; $B91,Historic!$F:$F,"&lt;&gt;0"),"")</f>
        <v>14800.9</v>
      </c>
      <c r="G91" s="9">
        <f t="shared" si="1"/>
        <v>0.005903695046</v>
      </c>
    </row>
    <row r="92">
      <c r="A92" s="57">
        <f>IFERROR(__xludf.DUMMYFUNCTION("""COMPUTED_VALUE"""),42347.0)</f>
        <v>42347</v>
      </c>
      <c r="B92" t="str">
        <f>IFERROR(__xludf.DUMMYFUNCTION("""COMPUTED_VALUE"""),"Intermediate US bonds (7-10 year)")</f>
        <v>Intermediate US bonds (7-10 year)</v>
      </c>
      <c r="C92" t="str">
        <f>IFERROR(__xludf.DUMMYFUNCTION("""COMPUTED_VALUE"""),"iShares 7-10 Year Treasury Bond ETF")</f>
        <v>iShares 7-10 Year Treasury Bond ETF</v>
      </c>
      <c r="D92" s="59">
        <f>IFERROR(__xludf.DUMMYFUNCTION("""COMPUTED_VALUE"""),4.1)</f>
        <v>4.1</v>
      </c>
      <c r="E92">
        <f>IF(A92,SUMIFS(Historic!$E:$E,Historic!$A:$A,"&lt;" &amp; $A92,Historic!$B:$B,"=" &amp; $B92),"")</f>
        <v>55</v>
      </c>
      <c r="F92" s="59">
        <f>IF(A92,-SUMIFS(Historic!$G:$G,Historic!$A:$A,"&lt;" &amp; $A92,Historic!$B:$B,"=" &amp; $B92,Historic!$F:$F,"&lt;&gt;0"),"")</f>
        <v>5391.43</v>
      </c>
      <c r="G92" s="9">
        <f t="shared" si="1"/>
        <v>0.0007604661472</v>
      </c>
    </row>
    <row r="93">
      <c r="A93" s="57">
        <f>IFERROR(__xludf.DUMMYFUNCTION("""COMPUTED_VALUE"""),42318.0)</f>
        <v>42318</v>
      </c>
      <c r="B93" t="str">
        <f>IFERROR(__xludf.DUMMYFUNCTION("""COMPUTED_VALUE"""),"Intermediate US bonds (7-10 year)")</f>
        <v>Intermediate US bonds (7-10 year)</v>
      </c>
      <c r="C93" t="str">
        <f>IFERROR(__xludf.DUMMYFUNCTION("""COMPUTED_VALUE"""),"iShares 7-10 Year Treasury Bond ETF")</f>
        <v>iShares 7-10 Year Treasury Bond ETF</v>
      </c>
      <c r="D93" s="59">
        <f>IFERROR(__xludf.DUMMYFUNCTION("""COMPUTED_VALUE"""),4.09)</f>
        <v>4.09</v>
      </c>
      <c r="E93">
        <f>IF(A93,SUMIFS(Historic!$E:$E,Historic!$A:$A,"&lt;" &amp; $A93,Historic!$B:$B,"=" &amp; $B93),"")</f>
        <v>55</v>
      </c>
      <c r="F93" s="59">
        <f>IF(A93,-SUMIFS(Historic!$G:$G,Historic!$A:$A,"&lt;" &amp; $A93,Historic!$B:$B,"=" &amp; $B93,Historic!$F:$F,"&lt;&gt;0"),"")</f>
        <v>5391.43</v>
      </c>
      <c r="G93" s="9">
        <f t="shared" si="1"/>
        <v>0.0007586113517</v>
      </c>
    </row>
    <row r="94">
      <c r="E94" t="str">
        <f>IF(A94,SUMIFS(Historic!$E:$E,Historic!$A:$A,"&lt;" &amp; $A94,Historic!$B:$B,"=" &amp; $B94),"")</f>
        <v/>
      </c>
      <c r="F94" s="59" t="str">
        <f>IF(A94,-SUMIFS(Historic!$G:$G,Historic!$A:$A,"&lt;" &amp; $A94,Historic!$B:$B,"=" &amp; $B94,Historic!$F:$F,"&lt;&gt;0"),"")</f>
        <v/>
      </c>
      <c r="G94" s="9" t="str">
        <f t="shared" si="1"/>
        <v/>
      </c>
    </row>
    <row r="95">
      <c r="E95" t="str">
        <f>IF(A95,SUMIFS(Historic!$E:$E,Historic!$A:$A,"&lt;" &amp; $A95,Historic!$B:$B,"=" &amp; $B95),"")</f>
        <v/>
      </c>
      <c r="F95" s="59" t="str">
        <f>IF(A95,-SUMIFS(Historic!$G:$G,Historic!$A:$A,"&lt;" &amp; $A95,Historic!$B:$B,"=" &amp; $B95,Historic!$F:$F,"&lt;&gt;0"),"")</f>
        <v/>
      </c>
      <c r="G95" s="9" t="str">
        <f t="shared" si="1"/>
        <v/>
      </c>
    </row>
    <row r="96">
      <c r="E96" t="str">
        <f>IF(A96,SUMIFS(Historic!$E:$E,Historic!$A:$A,"&lt;" &amp; $A96,Historic!$B:$B,"=" &amp; $B96),"")</f>
        <v/>
      </c>
      <c r="F96" s="59" t="str">
        <f>IF(A96,-SUMIFS(Historic!$G:$G,Historic!$A:$A,"&lt;" &amp; $A96,Historic!$B:$B,"=" &amp; $B96,Historic!$F:$F,"&lt;&gt;0"),"")</f>
        <v/>
      </c>
      <c r="G96" s="9" t="str">
        <f t="shared" si="1"/>
        <v/>
      </c>
    </row>
    <row r="97">
      <c r="E97" t="str">
        <f>IF(A97,SUMIFS(Historic!$E:$E,Historic!$A:$A,"&lt;" &amp; $A97,Historic!$B:$B,"=" &amp; $B97),"")</f>
        <v/>
      </c>
      <c r="F97" s="59" t="str">
        <f>IF(A97,-SUMIFS(Historic!$G:$G,Historic!$A:$A,"&lt;" &amp; $A97,Historic!$B:$B,"=" &amp; $B97,Historic!$F:$F,"&lt;&gt;0"),"")</f>
        <v/>
      </c>
      <c r="G97" s="9" t="str">
        <f t="shared" si="1"/>
        <v/>
      </c>
    </row>
    <row r="98">
      <c r="E98" t="str">
        <f>IF(A98,SUMIFS(Historic!$E:$E,Historic!$A:$A,"&lt;" &amp; $A98,Historic!$B:$B,"=" &amp; $B98),"")</f>
        <v/>
      </c>
      <c r="F98" s="59" t="str">
        <f>IF(A98,-SUMIFS(Historic!$G:$G,Historic!$A:$A,"&lt;" &amp; $A98,Historic!$B:$B,"=" &amp; $B98,Historic!$F:$F,"&lt;&gt;0"),"")</f>
        <v/>
      </c>
      <c r="G98" s="9" t="str">
        <f t="shared" si="1"/>
        <v/>
      </c>
    </row>
    <row r="99">
      <c r="E99" t="str">
        <f>IF(A99,SUMIFS(Historic!$E:$E,Historic!$A:$A,"&lt;" &amp; $A99,Historic!$B:$B,"=" &amp; $B99),"")</f>
        <v/>
      </c>
      <c r="F99" s="59" t="str">
        <f>IF(A99,-SUMIFS(Historic!$G:$G,Historic!$A:$A,"&lt;" &amp; $A99,Historic!$B:$B,"=" &amp; $B99,Historic!$F:$F,"&lt;&gt;0"),"")</f>
        <v/>
      </c>
      <c r="G99" s="9" t="str">
        <f t="shared" si="1"/>
        <v/>
      </c>
    </row>
    <row r="100">
      <c r="E100" t="str">
        <f>IF(A100,SUMIFS(Historic!$E:$E,Historic!$A:$A,"&lt;" &amp; $A100,Historic!$B:$B,"=" &amp; $B100),"")</f>
        <v/>
      </c>
      <c r="F100" s="59" t="str">
        <f>IF(A100,-SUMIFS(Historic!$G:$G,Historic!$A:$A,"&lt;" &amp; $A100,Historic!$B:$B,"=" &amp; $B100,Historic!$F:$F,"&lt;&gt;0"),"")</f>
        <v/>
      </c>
      <c r="G100" s="9" t="str">
        <f t="shared" si="1"/>
        <v/>
      </c>
    </row>
    <row r="101">
      <c r="E101" t="str">
        <f>IF(A101,SUMIFS(Historic!$E:$E,Historic!$A:$A,"&lt;" &amp; $A101,Historic!$B:$B,"=" &amp; $B101),"")</f>
        <v/>
      </c>
      <c r="F101" s="59" t="str">
        <f>IF(A101,-SUMIFS(Historic!$G:$G,Historic!$A:$A,"&lt;" &amp; $A101,Historic!$B:$B,"=" &amp; $B101,Historic!$F:$F,"&lt;&gt;0"),"")</f>
        <v/>
      </c>
      <c r="G101" s="9" t="str">
        <f t="shared" si="1"/>
        <v/>
      </c>
    </row>
    <row r="102">
      <c r="E102" t="str">
        <f>IF(A102,SUMIFS(Historic!$E:$E,Historic!$A:$A,"&lt;" &amp; $A102,Historic!$B:$B,"=" &amp; $B102),"")</f>
        <v/>
      </c>
      <c r="F102" s="59" t="str">
        <f>IF(A102,-SUMIFS(Historic!$G:$G,Historic!$A:$A,"&lt;" &amp; $A102,Historic!$B:$B,"=" &amp; $B102,Historic!$F:$F,"&lt;&gt;0"),"")</f>
        <v/>
      </c>
      <c r="G102" s="9" t="str">
        <f t="shared" si="1"/>
        <v/>
      </c>
    </row>
    <row r="103">
      <c r="E103" t="str">
        <f>IF(A103,SUMIFS(Historic!$E:$E,Historic!$A:$A,"&lt;" &amp; $A103,Historic!$B:$B,"=" &amp; $B103),"")</f>
        <v/>
      </c>
      <c r="F103" s="59" t="str">
        <f>IF(A103,-SUMIFS(Historic!$G:$G,Historic!$A:$A,"&lt;" &amp; $A103,Historic!$B:$B,"=" &amp; $B103,Historic!$F:$F,"&lt;&gt;0"),"")</f>
        <v/>
      </c>
      <c r="G103" s="9" t="str">
        <f t="shared" si="1"/>
        <v/>
      </c>
    </row>
    <row r="104">
      <c r="E104" t="str">
        <f>IF(A104,SUMIFS(Historic!$E:$E,Historic!$A:$A,"&lt;" &amp; $A104,Historic!$B:$B,"=" &amp; $B104),"")</f>
        <v/>
      </c>
      <c r="F104" s="59" t="str">
        <f>IF(A104,-SUMIFS(Historic!$G:$G,Historic!$A:$A,"&lt;" &amp; $A104,Historic!$B:$B,"=" &amp; $B104,Historic!$F:$F,"&lt;&gt;0"),"")</f>
        <v/>
      </c>
      <c r="G104" s="9" t="str">
        <f t="shared" si="1"/>
        <v/>
      </c>
    </row>
    <row r="105">
      <c r="E105" t="str">
        <f>IF(A105,SUMIFS(Historic!$E:$E,Historic!$A:$A,"&lt;" &amp; $A105,Historic!$B:$B,"=" &amp; $B105),"")</f>
        <v/>
      </c>
      <c r="F105" s="59" t="str">
        <f>IF(A105,-SUMIFS(Historic!$G:$G,Historic!$A:$A,"&lt;" &amp; $A105,Historic!$B:$B,"=" &amp; $B105,Historic!$F:$F,"&lt;&gt;0"),"")</f>
        <v/>
      </c>
      <c r="G105" s="9" t="str">
        <f t="shared" si="1"/>
        <v/>
      </c>
    </row>
    <row r="106">
      <c r="E106" t="str">
        <f>IF(A106,SUMIFS(Historic!$E:$E,Historic!$A:$A,"&lt;" &amp; $A106,Historic!$B:$B,"=" &amp; $B106),"")</f>
        <v/>
      </c>
      <c r="F106" s="59" t="str">
        <f>IF(A106,-SUMIFS(Historic!$G:$G,Historic!$A:$A,"&lt;" &amp; $A106,Historic!$B:$B,"=" &amp; $B106,Historic!$F:$F,"&lt;&gt;0"),"")</f>
        <v/>
      </c>
      <c r="G106" s="9" t="str">
        <f t="shared" si="1"/>
        <v/>
      </c>
    </row>
    <row r="107">
      <c r="E107" t="str">
        <f>IF(A107,SUMIFS(Historic!$E:$E,Historic!$A:$A,"&lt;" &amp; $A107,Historic!$B:$B,"=" &amp; $B107),"")</f>
        <v/>
      </c>
      <c r="F107" s="59" t="str">
        <f>IF(A107,-SUMIFS(Historic!$G:$G,Historic!$A:$A,"&lt;" &amp; $A107,Historic!$B:$B,"=" &amp; $B107,Historic!$F:$F,"&lt;&gt;0"),"")</f>
        <v/>
      </c>
      <c r="G107" s="9" t="str">
        <f t="shared" si="1"/>
        <v/>
      </c>
    </row>
    <row r="108">
      <c r="E108" t="str">
        <f>IF(A108,SUMIFS(Historic!$E:$E,Historic!$A:$A,"&lt;" &amp; $A108,Historic!$B:$B,"=" &amp; $B108),"")</f>
        <v/>
      </c>
      <c r="F108" s="59" t="str">
        <f>IF(A108,-SUMIFS(Historic!$G:$G,Historic!$A:$A,"&lt;" &amp; $A108,Historic!$B:$B,"=" &amp; $B108,Historic!$F:$F,"&lt;&gt;0"),"")</f>
        <v/>
      </c>
      <c r="G108" s="9" t="str">
        <f t="shared" si="1"/>
        <v/>
      </c>
    </row>
    <row r="109">
      <c r="E109" t="str">
        <f>IF(A109,SUMIFS(Historic!$E:$E,Historic!$A:$A,"&lt;" &amp; $A109,Historic!$B:$B,"=" &amp; $B109),"")</f>
        <v/>
      </c>
      <c r="F109" s="59" t="str">
        <f>IF(A109,-SUMIFS(Historic!$G:$G,Historic!$A:$A,"&lt;" &amp; $A109,Historic!$B:$B,"=" &amp; $B109,Historic!$F:$F,"&lt;&gt;0"),"")</f>
        <v/>
      </c>
      <c r="G109" s="9" t="str">
        <f t="shared" si="1"/>
        <v/>
      </c>
    </row>
    <row r="110">
      <c r="E110" t="str">
        <f>IF(A110,SUMIFS(Historic!$E:$E,Historic!$A:$A,"&lt;" &amp; $A110,Historic!$B:$B,"=" &amp; $B110),"")</f>
        <v/>
      </c>
      <c r="F110" s="59" t="str">
        <f>IF(A110,-SUMIFS(Historic!$G:$G,Historic!$A:$A,"&lt;" &amp; $A110,Historic!$B:$B,"=" &amp; $B110,Historic!$F:$F,"&lt;&gt;0"),"")</f>
        <v/>
      </c>
      <c r="G110" s="9" t="str">
        <f t="shared" si="1"/>
        <v/>
      </c>
    </row>
    <row r="111">
      <c r="E111" t="str">
        <f>IF(A111,SUMIFS(Historic!$E:$E,Historic!$A:$A,"&lt;" &amp; $A111,Historic!$B:$B,"=" &amp; $B111),"")</f>
        <v/>
      </c>
      <c r="F111" s="59" t="str">
        <f>IF(A111,-SUMIFS(Historic!$G:$G,Historic!$A:$A,"&lt;" &amp; $A111,Historic!$B:$B,"=" &amp; $B111,Historic!$F:$F,"&lt;&gt;0"),"")</f>
        <v/>
      </c>
      <c r="G111" s="9" t="str">
        <f t="shared" si="1"/>
        <v/>
      </c>
    </row>
    <row r="112">
      <c r="E112" t="str">
        <f>IF(A112,SUMIFS(Historic!$E:$E,Historic!$A:$A,"&lt;" &amp; $A112,Historic!$B:$B,"=" &amp; $B112),"")</f>
        <v/>
      </c>
      <c r="F112" s="59" t="str">
        <f>IF(A112,-SUMIFS(Historic!$G:$G,Historic!$A:$A,"&lt;" &amp; $A112,Historic!$B:$B,"=" &amp; $B112,Historic!$F:$F,"&lt;&gt;0"),"")</f>
        <v/>
      </c>
      <c r="G112" s="9" t="str">
        <f t="shared" si="1"/>
        <v/>
      </c>
    </row>
    <row r="113">
      <c r="E113" t="str">
        <f>IF(A113,SUMIFS(Historic!$E:$E,Historic!$A:$A,"&lt;" &amp; $A113,Historic!$B:$B,"=" &amp; $B113),"")</f>
        <v/>
      </c>
      <c r="F113" s="59" t="str">
        <f>IF(A113,-SUMIFS(Historic!$G:$G,Historic!$A:$A,"&lt;" &amp; $A113,Historic!$B:$B,"=" &amp; $B113,Historic!$F:$F,"&lt;&gt;0"),"")</f>
        <v/>
      </c>
      <c r="G113" s="9" t="str">
        <f t="shared" si="1"/>
        <v/>
      </c>
    </row>
    <row r="114">
      <c r="E114" t="str">
        <f>IF(A114,SUMIFS(Historic!$E:$E,Historic!$A:$A,"&lt;" &amp; $A114,Historic!$B:$B,"=" &amp; $B114),"")</f>
        <v/>
      </c>
      <c r="F114" s="59" t="str">
        <f>IF(A114,-SUMIFS(Historic!$G:$G,Historic!$A:$A,"&lt;" &amp; $A114,Historic!$B:$B,"=" &amp; $B114,Historic!$F:$F,"&lt;&gt;0"),"")</f>
        <v/>
      </c>
      <c r="G114" s="9" t="str">
        <f t="shared" si="1"/>
        <v/>
      </c>
    </row>
    <row r="115">
      <c r="E115" t="str">
        <f>IF(A115,SUMIFS(Historic!$E:$E,Historic!$A:$A,"&lt;" &amp; $A115,Historic!$B:$B,"=" &amp; $B115),"")</f>
        <v/>
      </c>
      <c r="F115" s="59" t="str">
        <f>IF(A115,-SUMIFS(Historic!$G:$G,Historic!$A:$A,"&lt;" &amp; $A115,Historic!$B:$B,"=" &amp; $B115,Historic!$F:$F,"&lt;&gt;0"),"")</f>
        <v/>
      </c>
      <c r="G115" s="9" t="str">
        <f t="shared" si="1"/>
        <v/>
      </c>
    </row>
    <row r="116">
      <c r="E116" t="str">
        <f>IF(A116,SUMIFS(Historic!$E:$E,Historic!$A:$A,"&lt;" &amp; $A116,Historic!$B:$B,"=" &amp; $B116),"")</f>
        <v/>
      </c>
      <c r="F116" s="59" t="str">
        <f>IF(A116,-SUMIFS(Historic!$G:$G,Historic!$A:$A,"&lt;" &amp; $A116,Historic!$B:$B,"=" &amp; $B116,Historic!$F:$F,"&lt;&gt;0"),"")</f>
        <v/>
      </c>
      <c r="G116" s="9" t="str">
        <f t="shared" si="1"/>
        <v/>
      </c>
    </row>
    <row r="117">
      <c r="E117" t="str">
        <f>IF(A117,SUMIFS(Historic!$E:$E,Historic!$A:$A,"&lt;" &amp; $A117,Historic!$B:$B,"=" &amp; $B117),"")</f>
        <v/>
      </c>
      <c r="F117" s="59" t="str">
        <f>IF(A117,-SUMIFS(Historic!$G:$G,Historic!$A:$A,"&lt;" &amp; $A117,Historic!$B:$B,"=" &amp; $B117,Historic!$F:$F,"&lt;&gt;0"),"")</f>
        <v/>
      </c>
      <c r="G117" s="9" t="str">
        <f t="shared" si="1"/>
        <v/>
      </c>
    </row>
    <row r="118">
      <c r="E118" t="str">
        <f>IF(A118,SUMIFS(Historic!$E:$E,Historic!$A:$A,"&lt;" &amp; $A118,Historic!$B:$B,"=" &amp; $B118),"")</f>
        <v/>
      </c>
      <c r="F118" s="59" t="str">
        <f>IF(A118,-SUMIFS(Historic!$G:$G,Historic!$A:$A,"&lt;" &amp; $A118,Historic!$B:$B,"=" &amp; $B118,Historic!$F:$F,"&lt;&gt;0"),"")</f>
        <v/>
      </c>
      <c r="G118" s="9" t="str">
        <f t="shared" si="1"/>
        <v/>
      </c>
    </row>
    <row r="119">
      <c r="E119" t="str">
        <f>IF(A119,SUMIFS(Historic!$E:$E,Historic!$A:$A,"&lt;" &amp; $A119,Historic!$B:$B,"=" &amp; $B119),"")</f>
        <v/>
      </c>
      <c r="F119" s="59" t="str">
        <f>IF(A119,-SUMIFS(Historic!$G:$G,Historic!$A:$A,"&lt;" &amp; $A119,Historic!$B:$B,"=" &amp; $B119,Historic!$F:$F,"&lt;&gt;0"),"")</f>
        <v/>
      </c>
      <c r="G119" s="9" t="str">
        <f t="shared" si="1"/>
        <v/>
      </c>
    </row>
    <row r="120">
      <c r="E120" t="str">
        <f>IF(A120,SUMIFS(Historic!$E:$E,Historic!$A:$A,"&lt;" &amp; $A120,Historic!$B:$B,"=" &amp; $B120),"")</f>
        <v/>
      </c>
      <c r="F120" s="59" t="str">
        <f>IF(A120,-SUMIFS(Historic!$G:$G,Historic!$A:$A,"&lt;" &amp; $A120,Historic!$B:$B,"=" &amp; $B120,Historic!$F:$F,"&lt;&gt;0"),"")</f>
        <v/>
      </c>
      <c r="G120" s="9" t="str">
        <f t="shared" si="1"/>
        <v/>
      </c>
    </row>
    <row r="121">
      <c r="E121" t="str">
        <f>IF(A121,SUMIFS(Historic!$E:$E,Historic!$A:$A,"&lt;" &amp; $A121,Historic!$B:$B,"=" &amp; $B121),"")</f>
        <v/>
      </c>
      <c r="F121" s="59" t="str">
        <f>IF(A121,-SUMIFS(Historic!$G:$G,Historic!$A:$A,"&lt;" &amp; $A121,Historic!$B:$B,"=" &amp; $B121,Historic!$F:$F,"&lt;&gt;0"),"")</f>
        <v/>
      </c>
      <c r="G121" s="9" t="str">
        <f t="shared" si="1"/>
        <v/>
      </c>
    </row>
    <row r="122">
      <c r="E122" t="str">
        <f>IF(A122,SUMIFS(Historic!$E:$E,Historic!$A:$A,"&lt;" &amp; $A122,Historic!$B:$B,"=" &amp; $B122),"")</f>
        <v/>
      </c>
      <c r="F122" s="59" t="str">
        <f>IF(A122,-SUMIFS(Historic!$G:$G,Historic!$A:$A,"&lt;" &amp; $A122,Historic!$B:$B,"=" &amp; $B122,Historic!$F:$F,"&lt;&gt;0"),"")</f>
        <v/>
      </c>
      <c r="G122" s="9" t="str">
        <f t="shared" si="1"/>
        <v/>
      </c>
    </row>
    <row r="123">
      <c r="E123" t="str">
        <f>IF(A123,SUMIFS(Historic!$E:$E,Historic!$A:$A,"&lt;" &amp; $A123,Historic!$B:$B,"=" &amp; $B123),"")</f>
        <v/>
      </c>
      <c r="F123" s="59" t="str">
        <f>IF(A123,-SUMIFS(Historic!$G:$G,Historic!$A:$A,"&lt;" &amp; $A123,Historic!$B:$B,"=" &amp; $B123,Historic!$F:$F,"&lt;&gt;0"),"")</f>
        <v/>
      </c>
      <c r="G123" s="9" t="str">
        <f t="shared" si="1"/>
        <v/>
      </c>
    </row>
    <row r="124">
      <c r="E124" t="str">
        <f>IF(A124,SUMIFS(Historic!$E:$E,Historic!$A:$A,"&lt;" &amp; $A124,Historic!$B:$B,"=" &amp; $B124),"")</f>
        <v/>
      </c>
      <c r="F124" s="59" t="str">
        <f>IF(A124,-SUMIFS(Historic!$G:$G,Historic!$A:$A,"&lt;" &amp; $A124,Historic!$B:$B,"=" &amp; $B124,Historic!$F:$F,"&lt;&gt;0"),"")</f>
        <v/>
      </c>
      <c r="G124" s="9" t="str">
        <f t="shared" si="1"/>
        <v/>
      </c>
    </row>
    <row r="125">
      <c r="E125" t="str">
        <f>IF(A125,SUMIFS(Historic!$E:$E,Historic!$A:$A,"&lt;" &amp; $A125,Historic!$B:$B,"=" &amp; $B125),"")</f>
        <v/>
      </c>
      <c r="F125" s="59" t="str">
        <f>IF(A125,-SUMIFS(Historic!$G:$G,Historic!$A:$A,"&lt;" &amp; $A125,Historic!$B:$B,"=" &amp; $B125,Historic!$F:$F,"&lt;&gt;0"),"")</f>
        <v/>
      </c>
      <c r="G125" s="9" t="str">
        <f t="shared" si="1"/>
        <v/>
      </c>
    </row>
    <row r="126">
      <c r="E126" t="str">
        <f>IF(A126,SUMIFS(Historic!$E:$E,Historic!$A:$A,"&lt;" &amp; $A126,Historic!$B:$B,"=" &amp; $B126),"")</f>
        <v/>
      </c>
      <c r="F126" s="59" t="str">
        <f>IF(A126,-SUMIFS(Historic!$G:$G,Historic!$A:$A,"&lt;" &amp; $A126,Historic!$B:$B,"=" &amp; $B126,Historic!$F:$F,"&lt;&gt;0"),"")</f>
        <v/>
      </c>
      <c r="G126" s="9" t="str">
        <f t="shared" si="1"/>
        <v/>
      </c>
    </row>
    <row r="127">
      <c r="E127" t="str">
        <f>IF(A127,SUMIFS(Historic!$E:$E,Historic!$A:$A,"&lt;" &amp; $A127,Historic!$B:$B,"=" &amp; $B127),"")</f>
        <v/>
      </c>
      <c r="F127" s="59" t="str">
        <f>IF(A127,-SUMIFS(Historic!$G:$G,Historic!$A:$A,"&lt;" &amp; $A127,Historic!$B:$B,"=" &amp; $B127,Historic!$F:$F,"&lt;&gt;0"),"")</f>
        <v/>
      </c>
      <c r="G127" s="9" t="str">
        <f t="shared" si="1"/>
        <v/>
      </c>
    </row>
    <row r="128">
      <c r="E128" t="str">
        <f>IF(A128,SUMIFS(Historic!$E:$E,Historic!$A:$A,"&lt;" &amp; $A128,Historic!$B:$B,"=" &amp; $B128),"")</f>
        <v/>
      </c>
      <c r="F128" s="59" t="str">
        <f>IF(A128,-SUMIFS(Historic!$G:$G,Historic!$A:$A,"&lt;" &amp; $A128,Historic!$B:$B,"=" &amp; $B128,Historic!$F:$F,"&lt;&gt;0"),"")</f>
        <v/>
      </c>
      <c r="G128" s="9" t="str">
        <f t="shared" si="1"/>
        <v/>
      </c>
    </row>
    <row r="129">
      <c r="E129" t="str">
        <f>IF(A129,SUMIFS(Historic!$E:$E,Historic!$A:$A,"&lt;" &amp; $A129,Historic!$B:$B,"=" &amp; $B129),"")</f>
        <v/>
      </c>
      <c r="F129" s="59" t="str">
        <f>IF(A129,-SUMIFS(Historic!$G:$G,Historic!$A:$A,"&lt;" &amp; $A129,Historic!$B:$B,"=" &amp; $B129,Historic!$F:$F,"&lt;&gt;0"),"")</f>
        <v/>
      </c>
      <c r="G129" s="9" t="str">
        <f t="shared" si="1"/>
        <v/>
      </c>
    </row>
    <row r="130">
      <c r="E130" t="str">
        <f>IF(A130,SUMIFS(Historic!$E:$E,Historic!$A:$A,"&lt;" &amp; $A130,Historic!$B:$B,"=" &amp; $B130),"")</f>
        <v/>
      </c>
      <c r="F130" s="59" t="str">
        <f>IF(A130,-SUMIFS(Historic!$G:$G,Historic!$A:$A,"&lt;" &amp; $A130,Historic!$B:$B,"=" &amp; $B130,Historic!$F:$F,"&lt;&gt;0"),"")</f>
        <v/>
      </c>
      <c r="G130" s="9" t="str">
        <f t="shared" si="1"/>
        <v/>
      </c>
    </row>
    <row r="131">
      <c r="E131" t="str">
        <f>IF(A131,SUMIFS(Historic!$E:$E,Historic!$A:$A,"&lt;" &amp; $A131,Historic!$B:$B,"=" &amp; $B131),"")</f>
        <v/>
      </c>
      <c r="F131" s="59" t="str">
        <f>IF(A131,-SUMIFS(Historic!$G:$G,Historic!$A:$A,"&lt;" &amp; $A131,Historic!$B:$B,"=" &amp; $B131,Historic!$F:$F,"&lt;&gt;0"),"")</f>
        <v/>
      </c>
      <c r="G131" s="9" t="str">
        <f t="shared" si="1"/>
        <v/>
      </c>
    </row>
    <row r="132">
      <c r="E132" t="str">
        <f>IF(A132,SUMIFS(Historic!$E:$E,Historic!$A:$A,"&lt;" &amp; $A132,Historic!$B:$B,"=" &amp; $B132),"")</f>
        <v/>
      </c>
      <c r="F132" s="59" t="str">
        <f>IF(A132,-SUMIFS(Historic!$G:$G,Historic!$A:$A,"&lt;" &amp; $A132,Historic!$B:$B,"=" &amp; $B132,Historic!$F:$F,"&lt;&gt;0"),"")</f>
        <v/>
      </c>
      <c r="G132" s="9" t="str">
        <f t="shared" si="1"/>
        <v/>
      </c>
    </row>
    <row r="133">
      <c r="E133" t="str">
        <f>IF(A133,SUMIFS(Historic!$E:$E,Historic!$A:$A,"&lt;" &amp; $A133,Historic!$B:$B,"=" &amp; $B133),"")</f>
        <v/>
      </c>
      <c r="F133" s="59" t="str">
        <f>IF(A133,-SUMIFS(Historic!$G:$G,Historic!$A:$A,"&lt;" &amp; $A133,Historic!$B:$B,"=" &amp; $B133,Historic!$F:$F,"&lt;&gt;0"),"")</f>
        <v/>
      </c>
      <c r="G133" s="9" t="str">
        <f t="shared" si="1"/>
        <v/>
      </c>
    </row>
    <row r="134">
      <c r="E134" t="str">
        <f>IF(A134,SUMIFS(Historic!$E:$E,Historic!$A:$A,"&lt;" &amp; $A134,Historic!$B:$B,"=" &amp; $B134),"")</f>
        <v/>
      </c>
      <c r="F134" s="59" t="str">
        <f>IF(A134,-SUMIFS(Historic!$G:$G,Historic!$A:$A,"&lt;" &amp; $A134,Historic!$B:$B,"=" &amp; $B134,Historic!$F:$F,"&lt;&gt;0"),"")</f>
        <v/>
      </c>
      <c r="G134" s="9" t="str">
        <f t="shared" si="1"/>
        <v/>
      </c>
    </row>
    <row r="135">
      <c r="E135" t="str">
        <f>IF(A135,SUMIFS(Historic!$E:$E,Historic!$A:$A,"&lt;" &amp; $A135,Historic!$B:$B,"=" &amp; $B135),"")</f>
        <v/>
      </c>
      <c r="F135" s="59" t="str">
        <f>IF(A135,-SUMIFS(Historic!$G:$G,Historic!$A:$A,"&lt;" &amp; $A135,Historic!$B:$B,"=" &amp; $B135,Historic!$F:$F,"&lt;&gt;0"),"")</f>
        <v/>
      </c>
      <c r="G135" s="9" t="str">
        <f t="shared" si="1"/>
        <v/>
      </c>
    </row>
    <row r="136">
      <c r="E136" t="str">
        <f>IF(A136,SUMIFS(Historic!$E:$E,Historic!$A:$A,"&lt;" &amp; $A136,Historic!$B:$B,"=" &amp; $B136),"")</f>
        <v/>
      </c>
      <c r="F136" s="59" t="str">
        <f>IF(A136,-SUMIFS(Historic!$G:$G,Historic!$A:$A,"&lt;" &amp; $A136,Historic!$B:$B,"=" &amp; $B136,Historic!$F:$F,"&lt;&gt;0"),"")</f>
        <v/>
      </c>
      <c r="G136" s="9" t="str">
        <f t="shared" si="1"/>
        <v/>
      </c>
    </row>
    <row r="137">
      <c r="E137" t="str">
        <f>IF(A137,SUMIFS(Historic!$E:$E,Historic!$A:$A,"&lt;" &amp; $A137,Historic!$B:$B,"=" &amp; $B137),"")</f>
        <v/>
      </c>
      <c r="F137" s="59" t="str">
        <f>IF(A137,-SUMIFS(Historic!$G:$G,Historic!$A:$A,"&lt;" &amp; $A137,Historic!$B:$B,"=" &amp; $B137,Historic!$F:$F,"&lt;&gt;0"),"")</f>
        <v/>
      </c>
      <c r="G137" s="9" t="str">
        <f t="shared" si="1"/>
        <v/>
      </c>
    </row>
    <row r="138">
      <c r="E138" t="str">
        <f>IF(A138,SUMIFS(Historic!$E:$E,Historic!$A:$A,"&lt;" &amp; $A138,Historic!$B:$B,"=" &amp; $B138),"")</f>
        <v/>
      </c>
      <c r="F138" s="59" t="str">
        <f>IF(A138,-SUMIFS(Historic!$G:$G,Historic!$A:$A,"&lt;" &amp; $A138,Historic!$B:$B,"=" &amp; $B138,Historic!$F:$F,"&lt;&gt;0"),"")</f>
        <v/>
      </c>
      <c r="G138" s="9" t="str">
        <f t="shared" si="1"/>
        <v/>
      </c>
    </row>
    <row r="139">
      <c r="E139" t="str">
        <f>IF(A139,SUMIFS(Historic!$E:$E,Historic!$A:$A,"&lt;" &amp; $A139,Historic!$B:$B,"=" &amp; $B139),"")</f>
        <v/>
      </c>
      <c r="F139" s="59" t="str">
        <f>IF(A139,-SUMIFS(Historic!$G:$G,Historic!$A:$A,"&lt;" &amp; $A139,Historic!$B:$B,"=" &amp; $B139,Historic!$F:$F,"&lt;&gt;0"),"")</f>
        <v/>
      </c>
      <c r="G139" s="9" t="str">
        <f t="shared" si="1"/>
        <v/>
      </c>
    </row>
    <row r="140">
      <c r="E140" t="str">
        <f>IF(A140,SUMIFS(Historic!$E:$E,Historic!$A:$A,"&lt;" &amp; $A140,Historic!$B:$B,"=" &amp; $B140),"")</f>
        <v/>
      </c>
      <c r="F140" s="59" t="str">
        <f>IF(A140,-SUMIFS(Historic!$G:$G,Historic!$A:$A,"&lt;" &amp; $A140,Historic!$B:$B,"=" &amp; $B140,Historic!$F:$F,"&lt;&gt;0"),"")</f>
        <v/>
      </c>
      <c r="G140" s="9" t="str">
        <f t="shared" si="1"/>
        <v/>
      </c>
    </row>
    <row r="141">
      <c r="E141" t="str">
        <f>IF(A141,SUMIFS(Historic!$E:$E,Historic!$A:$A,"&lt;" &amp; $A141,Historic!$B:$B,"=" &amp; $B141),"")</f>
        <v/>
      </c>
      <c r="F141" s="59" t="str">
        <f>IF(A141,-SUMIFS(Historic!$G:$G,Historic!$A:$A,"&lt;" &amp; $A141,Historic!$B:$B,"=" &amp; $B141,Historic!$F:$F,"&lt;&gt;0"),"")</f>
        <v/>
      </c>
      <c r="G141" s="9" t="str">
        <f t="shared" si="1"/>
        <v/>
      </c>
    </row>
    <row r="142">
      <c r="E142" t="str">
        <f>IF(A142,SUMIFS(Historic!$E:$E,Historic!$A:$A,"&lt;" &amp; $A142,Historic!$B:$B,"=" &amp; $B142),"")</f>
        <v/>
      </c>
      <c r="F142" s="59" t="str">
        <f>IF(A142,-SUMIFS(Historic!$G:$G,Historic!$A:$A,"&lt;" &amp; $A142,Historic!$B:$B,"=" &amp; $B142,Historic!$F:$F,"&lt;&gt;0"),"")</f>
        <v/>
      </c>
      <c r="G142" s="9" t="str">
        <f t="shared" si="1"/>
        <v/>
      </c>
    </row>
    <row r="143">
      <c r="E143" t="str">
        <f>IF(A143,SUMIFS(Historic!$E:$E,Historic!$A:$A,"&lt;" &amp; $A143,Historic!$B:$B,"=" &amp; $B143),"")</f>
        <v/>
      </c>
      <c r="F143" s="59" t="str">
        <f>IF(A143,-SUMIFS(Historic!$G:$G,Historic!$A:$A,"&lt;" &amp; $A143,Historic!$B:$B,"=" &amp; $B143,Historic!$F:$F,"&lt;&gt;0"),"")</f>
        <v/>
      </c>
      <c r="G143" s="9" t="str">
        <f t="shared" si="1"/>
        <v/>
      </c>
    </row>
    <row r="144">
      <c r="E144" t="str">
        <f>IF(A144,SUMIFS(Historic!$E:$E,Historic!$A:$A,"&lt;" &amp; $A144,Historic!$B:$B,"=" &amp; $B144),"")</f>
        <v/>
      </c>
      <c r="F144" s="59" t="str">
        <f>IF(A144,-SUMIFS(Historic!$G:$G,Historic!$A:$A,"&lt;" &amp; $A144,Historic!$B:$B,"=" &amp; $B144,Historic!$F:$F,"&lt;&gt;0"),"")</f>
        <v/>
      </c>
      <c r="G144" s="9" t="str">
        <f t="shared" si="1"/>
        <v/>
      </c>
    </row>
    <row r="145">
      <c r="E145" t="str">
        <f>IF(A145,SUMIFS(Historic!$E:$E,Historic!$A:$A,"&lt;" &amp; $A145,Historic!$B:$B,"=" &amp; $B145),"")</f>
        <v/>
      </c>
      <c r="F145" s="59" t="str">
        <f>IF(A145,-SUMIFS(Historic!$G:$G,Historic!$A:$A,"&lt;" &amp; $A145,Historic!$B:$B,"=" &amp; $B145,Historic!$F:$F,"&lt;&gt;0"),"")</f>
        <v/>
      </c>
      <c r="G145" s="9" t="str">
        <f t="shared" si="1"/>
        <v/>
      </c>
    </row>
    <row r="146">
      <c r="E146" t="str">
        <f>IF(A146,SUMIFS(Historic!$E:$E,Historic!$A:$A,"&lt;" &amp; $A146,Historic!$B:$B,"=" &amp; $B146),"")</f>
        <v/>
      </c>
      <c r="F146" s="59" t="str">
        <f>IF(A146,-SUMIFS(Historic!$G:$G,Historic!$A:$A,"&lt;" &amp; $A146,Historic!$B:$B,"=" &amp; $B146,Historic!$F:$F,"&lt;&gt;0"),"")</f>
        <v/>
      </c>
      <c r="G146" s="9" t="str">
        <f t="shared" si="1"/>
        <v/>
      </c>
    </row>
    <row r="147">
      <c r="E147" t="str">
        <f>IF(A147,SUMIFS(Historic!$E:$E,Historic!$A:$A,"&lt;" &amp; $A147,Historic!$B:$B,"=" &amp; $B147),"")</f>
        <v/>
      </c>
      <c r="F147" s="59" t="str">
        <f>IF(A147,-SUMIFS(Historic!$G:$G,Historic!$A:$A,"&lt;" &amp; $A147,Historic!$B:$B,"=" &amp; $B147,Historic!$F:$F,"&lt;&gt;0"),"")</f>
        <v/>
      </c>
      <c r="G147" s="9" t="str">
        <f t="shared" si="1"/>
        <v/>
      </c>
    </row>
    <row r="148">
      <c r="E148" t="str">
        <f>IF(A148,SUMIFS(Historic!$E:$E,Historic!$A:$A,"&lt;" &amp; $A148,Historic!$B:$B,"=" &amp; $B148),"")</f>
        <v/>
      </c>
      <c r="F148" s="59" t="str">
        <f>IF(A148,-SUMIFS(Historic!$G:$G,Historic!$A:$A,"&lt;" &amp; $A148,Historic!$B:$B,"=" &amp; $B148,Historic!$F:$F,"&lt;&gt;0"),"")</f>
        <v/>
      </c>
      <c r="G148" s="9" t="str">
        <f t="shared" si="1"/>
        <v/>
      </c>
    </row>
    <row r="149">
      <c r="E149" t="str">
        <f>IF(A149,SUMIFS(Historic!$E:$E,Historic!$A:$A,"&lt;" &amp; $A149,Historic!$B:$B,"=" &amp; $B149),"")</f>
        <v/>
      </c>
      <c r="F149" s="59" t="str">
        <f>IF(A149,-SUMIFS(Historic!$G:$G,Historic!$A:$A,"&lt;" &amp; $A149,Historic!$B:$B,"=" &amp; $B149,Historic!$F:$F,"&lt;&gt;0"),"")</f>
        <v/>
      </c>
      <c r="G149" s="9" t="str">
        <f t="shared" si="1"/>
        <v/>
      </c>
    </row>
    <row r="150">
      <c r="E150" t="str">
        <f>IF(A150,SUMIFS(Historic!$E:$E,Historic!$A:$A,"&lt;" &amp; $A150,Historic!$B:$B,"=" &amp; $B150),"")</f>
        <v/>
      </c>
      <c r="F150" s="59" t="str">
        <f>IF(A150,-SUMIFS(Historic!$G:$G,Historic!$A:$A,"&lt;" &amp; $A150,Historic!$B:$B,"=" &amp; $B150,Historic!$F:$F,"&lt;&gt;0"),"")</f>
        <v/>
      </c>
      <c r="G150" s="9" t="str">
        <f t="shared" si="1"/>
        <v/>
      </c>
    </row>
    <row r="151">
      <c r="E151" t="str">
        <f>IF(A151,SUMIFS(Historic!$E:$E,Historic!$A:$A,"&lt;" &amp; $A151,Historic!$B:$B,"=" &amp; $B151),"")</f>
        <v/>
      </c>
      <c r="F151" s="59" t="str">
        <f>IF(A151,-SUMIFS(Historic!$G:$G,Historic!$A:$A,"&lt;" &amp; $A151,Historic!$B:$B,"=" &amp; $B151,Historic!$F:$F,"&lt;&gt;0"),"")</f>
        <v/>
      </c>
      <c r="G151" s="9" t="str">
        <f t="shared" si="1"/>
        <v/>
      </c>
    </row>
    <row r="152">
      <c r="E152" t="str">
        <f>IF(A152,SUMIFS(Historic!$E:$E,Historic!$A:$A,"&lt;" &amp; $A152,Historic!$B:$B,"=" &amp; $B152),"")</f>
        <v/>
      </c>
      <c r="F152" s="59" t="str">
        <f>IF(A152,-SUMIFS(Historic!$G:$G,Historic!$A:$A,"&lt;" &amp; $A152,Historic!$B:$B,"=" &amp; $B152,Historic!$F:$F,"&lt;&gt;0"),"")</f>
        <v/>
      </c>
      <c r="G152" s="9" t="str">
        <f t="shared" si="1"/>
        <v/>
      </c>
    </row>
    <row r="153">
      <c r="E153" t="str">
        <f>IF(A153,SUMIFS(Historic!$E:$E,Historic!$A:$A,"&lt;" &amp; $A153,Historic!$B:$B,"=" &amp; $B153),"")</f>
        <v/>
      </c>
      <c r="F153" s="59" t="str">
        <f>IF(A153,-SUMIFS(Historic!$G:$G,Historic!$A:$A,"&lt;" &amp; $A153,Historic!$B:$B,"=" &amp; $B153,Historic!$F:$F,"&lt;&gt;0"),"")</f>
        <v/>
      </c>
      <c r="G153" s="9" t="str">
        <f t="shared" si="1"/>
        <v/>
      </c>
    </row>
    <row r="154">
      <c r="E154" t="str">
        <f>IF(A154,SUMIFS(Historic!$E:$E,Historic!$A:$A,"&lt;" &amp; $A154,Historic!$B:$B,"=" &amp; $B154),"")</f>
        <v/>
      </c>
      <c r="F154" s="59" t="str">
        <f>IF(A154,-SUMIFS(Historic!$G:$G,Historic!$A:$A,"&lt;" &amp; $A154,Historic!$B:$B,"=" &amp; $B154,Historic!$F:$F,"&lt;&gt;0"),"")</f>
        <v/>
      </c>
      <c r="G154" s="9" t="str">
        <f t="shared" si="1"/>
        <v/>
      </c>
    </row>
    <row r="155">
      <c r="E155" t="str">
        <f>IF(A155,SUMIFS(Historic!$E:$E,Historic!$A:$A,"&lt;" &amp; $A155,Historic!$B:$B,"=" &amp; $B155),"")</f>
        <v/>
      </c>
      <c r="F155" s="59" t="str">
        <f>IF(A155,-SUMIFS(Historic!$G:$G,Historic!$A:$A,"&lt;" &amp; $A155,Historic!$B:$B,"=" &amp; $B155,Historic!$F:$F,"&lt;&gt;0"),"")</f>
        <v/>
      </c>
      <c r="G155" s="9" t="str">
        <f t="shared" si="1"/>
        <v/>
      </c>
    </row>
    <row r="156">
      <c r="E156" t="str">
        <f>IF(A156,SUMIFS(Historic!$E:$E,Historic!$A:$A,"&lt;" &amp; $A156,Historic!$B:$B,"=" &amp; $B156),"")</f>
        <v/>
      </c>
      <c r="F156" s="59" t="str">
        <f>IF(A156,-SUMIFS(Historic!$G:$G,Historic!$A:$A,"&lt;" &amp; $A156,Historic!$B:$B,"=" &amp; $B156,Historic!$F:$F,"&lt;&gt;0"),"")</f>
        <v/>
      </c>
      <c r="G156" s="9" t="str">
        <f t="shared" si="1"/>
        <v/>
      </c>
    </row>
    <row r="157">
      <c r="E157" t="str">
        <f>IF(A157,SUMIFS(Historic!$E:$E,Historic!$A:$A,"&lt;" &amp; $A157,Historic!$B:$B,"=" &amp; $B157),"")</f>
        <v/>
      </c>
      <c r="F157" s="59" t="str">
        <f>IF(A157,-SUMIFS(Historic!$G:$G,Historic!$A:$A,"&lt;" &amp; $A157,Historic!$B:$B,"=" &amp; $B157,Historic!$F:$F,"&lt;&gt;0"),"")</f>
        <v/>
      </c>
      <c r="G157" s="9" t="str">
        <f t="shared" si="1"/>
        <v/>
      </c>
    </row>
    <row r="158">
      <c r="E158" t="str">
        <f>IF(A158,SUMIFS(Historic!$E:$E,Historic!$A:$A,"&lt;" &amp; $A158,Historic!$B:$B,"=" &amp; $B158),"")</f>
        <v/>
      </c>
      <c r="F158" s="59" t="str">
        <f>IF(A158,-SUMIFS(Historic!$G:$G,Historic!$A:$A,"&lt;" &amp; $A158,Historic!$B:$B,"=" &amp; $B158,Historic!$F:$F,"&lt;&gt;0"),"")</f>
        <v/>
      </c>
      <c r="G158" s="9" t="str">
        <f t="shared" si="1"/>
        <v/>
      </c>
    </row>
    <row r="159">
      <c r="E159" t="str">
        <f>IF(A159,SUMIFS(Historic!$E:$E,Historic!$A:$A,"&lt;" &amp; $A159,Historic!$B:$B,"=" &amp; $B159),"")</f>
        <v/>
      </c>
      <c r="F159" s="59" t="str">
        <f>IF(A159,-SUMIFS(Historic!$G:$G,Historic!$A:$A,"&lt;" &amp; $A159,Historic!$B:$B,"=" &amp; $B159,Historic!$F:$F,"&lt;&gt;0"),"")</f>
        <v/>
      </c>
      <c r="G159" s="9" t="str">
        <f t="shared" si="1"/>
        <v/>
      </c>
    </row>
    <row r="160">
      <c r="E160" t="str">
        <f>IF(A160,SUMIFS(Historic!$E:$E,Historic!$A:$A,"&lt;" &amp; $A160,Historic!$B:$B,"=" &amp; $B160),"")</f>
        <v/>
      </c>
      <c r="F160" s="59" t="str">
        <f>IF(A160,-SUMIFS(Historic!$G:$G,Historic!$A:$A,"&lt;" &amp; $A160,Historic!$B:$B,"=" &amp; $B160,Historic!$F:$F,"&lt;&gt;0"),"")</f>
        <v/>
      </c>
      <c r="G160" s="9" t="str">
        <f t="shared" si="1"/>
        <v/>
      </c>
    </row>
    <row r="161">
      <c r="E161" t="str">
        <f>IF(A161,SUMIFS(Historic!$E:$E,Historic!$A:$A,"&lt;" &amp; $A161,Historic!$B:$B,"=" &amp; $B161),"")</f>
        <v/>
      </c>
      <c r="F161" s="59" t="str">
        <f>IF(A161,-SUMIFS(Historic!$G:$G,Historic!$A:$A,"&lt;" &amp; $A161,Historic!$B:$B,"=" &amp; $B161,Historic!$F:$F,"&lt;&gt;0"),"")</f>
        <v/>
      </c>
      <c r="G161" s="9" t="str">
        <f t="shared" si="1"/>
        <v/>
      </c>
    </row>
    <row r="162">
      <c r="E162" t="str">
        <f>IF(A162,SUMIFS(Historic!$E:$E,Historic!$A:$A,"&lt;" &amp; $A162,Historic!$B:$B,"=" &amp; $B162),"")</f>
        <v/>
      </c>
      <c r="F162" s="59" t="str">
        <f>IF(A162,-SUMIFS(Historic!$G:$G,Historic!$A:$A,"&lt;" &amp; $A162,Historic!$B:$B,"=" &amp; $B162,Historic!$F:$F,"&lt;&gt;0"),"")</f>
        <v/>
      </c>
      <c r="G162" s="9" t="str">
        <f t="shared" si="1"/>
        <v/>
      </c>
    </row>
    <row r="163">
      <c r="E163" t="str">
        <f>IF(A163,SUMIFS(Historic!$E:$E,Historic!$A:$A,"&lt;" &amp; $A163,Historic!$B:$B,"=" &amp; $B163),"")</f>
        <v/>
      </c>
      <c r="F163" s="59" t="str">
        <f>IF(A163,-SUMIFS(Historic!$G:$G,Historic!$A:$A,"&lt;" &amp; $A163,Historic!$B:$B,"=" &amp; $B163,Historic!$F:$F,"&lt;&gt;0"),"")</f>
        <v/>
      </c>
      <c r="G163" s="9" t="str">
        <f t="shared" si="1"/>
        <v/>
      </c>
    </row>
    <row r="164">
      <c r="E164" t="str">
        <f>IF(A164,SUMIFS(Historic!$E:$E,Historic!$A:$A,"&lt;" &amp; $A164,Historic!$B:$B,"=" &amp; $B164),"")</f>
        <v/>
      </c>
      <c r="F164" s="59" t="str">
        <f>IF(A164,-SUMIFS(Historic!$G:$G,Historic!$A:$A,"&lt;" &amp; $A164,Historic!$B:$B,"=" &amp; $B164,Historic!$F:$F,"&lt;&gt;0"),"")</f>
        <v/>
      </c>
      <c r="G164" s="9" t="str">
        <f t="shared" si="1"/>
        <v/>
      </c>
    </row>
    <row r="165">
      <c r="E165" t="str">
        <f>IF(A165,SUMIFS(Historic!$E:$E,Historic!$A:$A,"&lt;" &amp; $A165,Historic!$B:$B,"=" &amp; $B165),"")</f>
        <v/>
      </c>
      <c r="F165" s="59" t="str">
        <f>IF(A165,-SUMIFS(Historic!$G:$G,Historic!$A:$A,"&lt;" &amp; $A165,Historic!$B:$B,"=" &amp; $B165,Historic!$F:$F,"&lt;&gt;0"),"")</f>
        <v/>
      </c>
      <c r="G165" s="9" t="str">
        <f t="shared" si="1"/>
        <v/>
      </c>
    </row>
    <row r="166">
      <c r="E166" t="str">
        <f>IF(A166,SUMIFS(Historic!$E:$E,Historic!$A:$A,"&lt;" &amp; $A166,Historic!$B:$B,"=" &amp; $B166),"")</f>
        <v/>
      </c>
      <c r="F166" s="59" t="str">
        <f>IF(A166,-SUMIFS(Historic!$G:$G,Historic!$A:$A,"&lt;" &amp; $A166,Historic!$B:$B,"=" &amp; $B166,Historic!$F:$F,"&lt;&gt;0"),"")</f>
        <v/>
      </c>
      <c r="G166" s="9" t="str">
        <f t="shared" si="1"/>
        <v/>
      </c>
    </row>
    <row r="167">
      <c r="E167" t="str">
        <f>IF(A167,SUMIFS(Historic!$E:$E,Historic!$A:$A,"&lt;" &amp; $A167,Historic!$B:$B,"=" &amp; $B167),"")</f>
        <v/>
      </c>
      <c r="F167" s="59" t="str">
        <f>IF(A167,-SUMIFS(Historic!$G:$G,Historic!$A:$A,"&lt;" &amp; $A167,Historic!$B:$B,"=" &amp; $B167,Historic!$F:$F,"&lt;&gt;0"),"")</f>
        <v/>
      </c>
      <c r="G167" s="9" t="str">
        <f t="shared" si="1"/>
        <v/>
      </c>
    </row>
    <row r="168">
      <c r="E168" t="str">
        <f>IF(A168,SUMIFS(Historic!$E:$E,Historic!$A:$A,"&lt;" &amp; $A168,Historic!$B:$B,"=" &amp; $B168),"")</f>
        <v/>
      </c>
      <c r="F168" s="59" t="str">
        <f>IF(A168,-SUMIFS(Historic!$G:$G,Historic!$A:$A,"&lt;" &amp; $A168,Historic!$B:$B,"=" &amp; $B168,Historic!$F:$F,"&lt;&gt;0"),"")</f>
        <v/>
      </c>
      <c r="G168" s="9" t="str">
        <f t="shared" si="1"/>
        <v/>
      </c>
    </row>
    <row r="169">
      <c r="E169" t="str">
        <f>IF(A169,SUMIFS(Historic!$E:$E,Historic!$A:$A,"&lt;" &amp; $A169,Historic!$B:$B,"=" &amp; $B169),"")</f>
        <v/>
      </c>
      <c r="F169" s="59" t="str">
        <f>IF(A169,-SUMIFS(Historic!$G:$G,Historic!$A:$A,"&lt;" &amp; $A169,Historic!$B:$B,"=" &amp; $B169,Historic!$F:$F,"&lt;&gt;0"),"")</f>
        <v/>
      </c>
      <c r="G169" s="9" t="str">
        <f t="shared" si="1"/>
        <v/>
      </c>
    </row>
    <row r="170">
      <c r="E170" t="str">
        <f>IF(A170,SUMIFS(Historic!$E:$E,Historic!$A:$A,"&lt;" &amp; $A170,Historic!$B:$B,"=" &amp; $B170),"")</f>
        <v/>
      </c>
      <c r="F170" s="59" t="str">
        <f>IF(A170,-SUMIFS(Historic!$G:$G,Historic!$A:$A,"&lt;" &amp; $A170,Historic!$B:$B,"=" &amp; $B170,Historic!$F:$F,"&lt;&gt;0"),"")</f>
        <v/>
      </c>
      <c r="G170" s="9" t="str">
        <f t="shared" si="1"/>
        <v/>
      </c>
    </row>
    <row r="171">
      <c r="E171" t="str">
        <f>IF(A171,SUMIFS(Historic!$E:$E,Historic!$A:$A,"&lt;" &amp; $A171,Historic!$B:$B,"=" &amp; $B171),"")</f>
        <v/>
      </c>
      <c r="F171" s="59" t="str">
        <f>IF(A171,-SUMIFS(Historic!$G:$G,Historic!$A:$A,"&lt;" &amp; $A171,Historic!$B:$B,"=" &amp; $B171,Historic!$F:$F,"&lt;&gt;0"),"")</f>
        <v/>
      </c>
      <c r="G171" s="9" t="str">
        <f t="shared" si="1"/>
        <v/>
      </c>
    </row>
    <row r="172">
      <c r="E172" t="str">
        <f>IF(A172,SUMIFS(Historic!$E:$E,Historic!$A:$A,"&lt;" &amp; $A172,Historic!$B:$B,"=" &amp; $B172),"")</f>
        <v/>
      </c>
      <c r="F172" s="59" t="str">
        <f>IF(A172,-SUMIFS(Historic!$G:$G,Historic!$A:$A,"&lt;" &amp; $A172,Historic!$B:$B,"=" &amp; $B172,Historic!$F:$F,"&lt;&gt;0"),"")</f>
        <v/>
      </c>
      <c r="G172" s="9" t="str">
        <f t="shared" si="1"/>
        <v/>
      </c>
    </row>
    <row r="173">
      <c r="E173" t="str">
        <f>IF(A173,SUMIFS(Historic!$E:$E,Historic!$A:$A,"&lt;" &amp; $A173,Historic!$B:$B,"=" &amp; $B173),"")</f>
        <v/>
      </c>
      <c r="F173" s="59" t="str">
        <f>IF(A173,-SUMIFS(Historic!$G:$G,Historic!$A:$A,"&lt;" &amp; $A173,Historic!$B:$B,"=" &amp; $B173,Historic!$F:$F,"&lt;&gt;0"),"")</f>
        <v/>
      </c>
      <c r="G173" s="9" t="str">
        <f t="shared" si="1"/>
        <v/>
      </c>
    </row>
    <row r="174">
      <c r="E174" t="str">
        <f>IF(A174,SUMIFS(Historic!$E:$E,Historic!$A:$A,"&lt;" &amp; $A174,Historic!$B:$B,"=" &amp; $B174),"")</f>
        <v/>
      </c>
      <c r="F174" s="59" t="str">
        <f>IF(A174,-SUMIFS(Historic!$G:$G,Historic!$A:$A,"&lt;" &amp; $A174,Historic!$B:$B,"=" &amp; $B174,Historic!$F:$F,"&lt;&gt;0"),"")</f>
        <v/>
      </c>
      <c r="G174" s="9" t="str">
        <f t="shared" si="1"/>
        <v/>
      </c>
    </row>
    <row r="175">
      <c r="E175" t="str">
        <f>IF(A175,SUMIFS(Historic!$E:$E,Historic!$A:$A,"&lt;" &amp; $A175,Historic!$B:$B,"=" &amp; $B175),"")</f>
        <v/>
      </c>
      <c r="F175" s="59" t="str">
        <f>IF(A175,-SUMIFS(Historic!$G:$G,Historic!$A:$A,"&lt;" &amp; $A175,Historic!$B:$B,"=" &amp; $B175,Historic!$F:$F,"&lt;&gt;0"),"")</f>
        <v/>
      </c>
      <c r="G175" s="9" t="str">
        <f t="shared" si="1"/>
        <v/>
      </c>
    </row>
    <row r="176">
      <c r="E176" t="str">
        <f>IF(A176,SUMIFS(Historic!$E:$E,Historic!$A:$A,"&lt;" &amp; $A176,Historic!$B:$B,"=" &amp; $B176),"")</f>
        <v/>
      </c>
      <c r="F176" s="59" t="str">
        <f>IF(A176,-SUMIFS(Historic!$G:$G,Historic!$A:$A,"&lt;" &amp; $A176,Historic!$B:$B,"=" &amp; $B176,Historic!$F:$F,"&lt;&gt;0"),"")</f>
        <v/>
      </c>
      <c r="G176" s="9" t="str">
        <f t="shared" si="1"/>
        <v/>
      </c>
    </row>
    <row r="177">
      <c r="E177" t="str">
        <f>IF(A177,SUMIFS(Historic!$E:$E,Historic!$A:$A,"&lt;" &amp; $A177,Historic!$B:$B,"=" &amp; $B177),"")</f>
        <v/>
      </c>
      <c r="F177" s="59" t="str">
        <f>IF(A177,-SUMIFS(Historic!$G:$G,Historic!$A:$A,"&lt;" &amp; $A177,Historic!$B:$B,"=" &amp; $B177,Historic!$F:$F,"&lt;&gt;0"),"")</f>
        <v/>
      </c>
      <c r="G177" s="9" t="str">
        <f t="shared" si="1"/>
        <v/>
      </c>
    </row>
    <row r="178">
      <c r="E178" t="str">
        <f>IF(A178,SUMIFS(Historic!$E:$E,Historic!$A:$A,"&lt;" &amp; $A178,Historic!$B:$B,"=" &amp; $B178),"")</f>
        <v/>
      </c>
      <c r="F178" s="59" t="str">
        <f>IF(A178,-SUMIFS(Historic!$G:$G,Historic!$A:$A,"&lt;" &amp; $A178,Historic!$B:$B,"=" &amp; $B178,Historic!$F:$F,"&lt;&gt;0"),"")</f>
        <v/>
      </c>
      <c r="G178" s="9" t="str">
        <f t="shared" si="1"/>
        <v/>
      </c>
    </row>
    <row r="179">
      <c r="E179" t="str">
        <f>IF(A179,SUMIFS(Historic!$E:$E,Historic!$A:$A,"&lt;" &amp; $A179,Historic!$B:$B,"=" &amp; $B179),"")</f>
        <v/>
      </c>
      <c r="F179" s="59" t="str">
        <f>IF(A179,-SUMIFS(Historic!$G:$G,Historic!$A:$A,"&lt;" &amp; $A179,Historic!$B:$B,"=" &amp; $B179,Historic!$F:$F,"&lt;&gt;0"),"")</f>
        <v/>
      </c>
      <c r="G179" s="9" t="str">
        <f t="shared" si="1"/>
        <v/>
      </c>
    </row>
    <row r="180">
      <c r="E180" t="str">
        <f>IF(A180,SUMIFS(Historic!$E:$E,Historic!$A:$A,"&lt;" &amp; $A180,Historic!$B:$B,"=" &amp; $B180),"")</f>
        <v/>
      </c>
      <c r="F180" s="59" t="str">
        <f>IF(A180,-SUMIFS(Historic!$G:$G,Historic!$A:$A,"&lt;" &amp; $A180,Historic!$B:$B,"=" &amp; $B180,Historic!$F:$F,"&lt;&gt;0"),"")</f>
        <v/>
      </c>
      <c r="G180" s="9" t="str">
        <f t="shared" si="1"/>
        <v/>
      </c>
    </row>
    <row r="181">
      <c r="E181" t="str">
        <f>IF(A181,SUMIFS(Historic!$E:$E,Historic!$A:$A,"&lt;" &amp; $A181,Historic!$B:$B,"=" &amp; $B181),"")</f>
        <v/>
      </c>
      <c r="F181" s="59" t="str">
        <f>IF(A181,-SUMIFS(Historic!$G:$G,Historic!$A:$A,"&lt;" &amp; $A181,Historic!$B:$B,"=" &amp; $B181,Historic!$F:$F,"&lt;&gt;0"),"")</f>
        <v/>
      </c>
      <c r="G181" s="9" t="str">
        <f t="shared" si="1"/>
        <v/>
      </c>
    </row>
    <row r="182">
      <c r="E182" t="str">
        <f>IF(A182,SUMIFS(Historic!$E:$E,Historic!$A:$A,"&lt;" &amp; $A182,Historic!$B:$B,"=" &amp; $B182),"")</f>
        <v/>
      </c>
      <c r="F182" s="59" t="str">
        <f>IF(A182,-SUMIFS(Historic!$G:$G,Historic!$A:$A,"&lt;" &amp; $A182,Historic!$B:$B,"=" &amp; $B182,Historic!$F:$F,"&lt;&gt;0"),"")</f>
        <v/>
      </c>
      <c r="G182" s="9" t="str">
        <f t="shared" si="1"/>
        <v/>
      </c>
    </row>
    <row r="183">
      <c r="E183" t="str">
        <f>IF(A183,SUMIFS(Historic!$E:$E,Historic!$A:$A,"&lt;" &amp; $A183,Historic!$B:$B,"=" &amp; $B183),"")</f>
        <v/>
      </c>
      <c r="F183" s="59" t="str">
        <f>IF(A183,-SUMIFS(Historic!$G:$G,Historic!$A:$A,"&lt;" &amp; $A183,Historic!$B:$B,"=" &amp; $B183,Historic!$F:$F,"&lt;&gt;0"),"")</f>
        <v/>
      </c>
      <c r="G183" s="9" t="str">
        <f t="shared" si="1"/>
        <v/>
      </c>
    </row>
    <row r="184">
      <c r="E184" t="str">
        <f>IF(A184,SUMIFS(Historic!$E:$E,Historic!$A:$A,"&lt;" &amp; $A184,Historic!$B:$B,"=" &amp; $B184),"")</f>
        <v/>
      </c>
      <c r="F184" s="59" t="str">
        <f>IF(A184,-SUMIFS(Historic!$G:$G,Historic!$A:$A,"&lt;" &amp; $A184,Historic!$B:$B,"=" &amp; $B184,Historic!$F:$F,"&lt;&gt;0"),"")</f>
        <v/>
      </c>
      <c r="G184" s="9" t="str">
        <f t="shared" si="1"/>
        <v/>
      </c>
    </row>
    <row r="185">
      <c r="E185" t="str">
        <f>IF(A185,SUMIFS(Historic!$E:$E,Historic!$A:$A,"&lt;" &amp; $A185,Historic!$B:$B,"=" &amp; $B185),"")</f>
        <v/>
      </c>
      <c r="F185" s="59" t="str">
        <f>IF(A185,-SUMIFS(Historic!$G:$G,Historic!$A:$A,"&lt;" &amp; $A185,Historic!$B:$B,"=" &amp; $B185,Historic!$F:$F,"&lt;&gt;0"),"")</f>
        <v/>
      </c>
      <c r="G185" s="9" t="str">
        <f t="shared" si="1"/>
        <v/>
      </c>
    </row>
    <row r="186">
      <c r="E186" t="str">
        <f>IF(A186,SUMIFS(Historic!$E:$E,Historic!$A:$A,"&lt;" &amp; $A186,Historic!$B:$B,"=" &amp; $B186),"")</f>
        <v/>
      </c>
      <c r="F186" s="59" t="str">
        <f>IF(A186,-SUMIFS(Historic!$G:$G,Historic!$A:$A,"&lt;" &amp; $A186,Historic!$B:$B,"=" &amp; $B186,Historic!$F:$F,"&lt;&gt;0"),"")</f>
        <v/>
      </c>
      <c r="G186" s="9" t="str">
        <f t="shared" si="1"/>
        <v/>
      </c>
    </row>
    <row r="187">
      <c r="E187" t="str">
        <f>IF(A187,SUMIFS(Historic!$E:$E,Historic!$A:$A,"&lt;" &amp; $A187,Historic!$B:$B,"=" &amp; $B187),"")</f>
        <v/>
      </c>
      <c r="F187" s="59" t="str">
        <f>IF(A187,-SUMIFS(Historic!$G:$G,Historic!$A:$A,"&lt;" &amp; $A187,Historic!$B:$B,"=" &amp; $B187,Historic!$F:$F,"&lt;&gt;0"),"")</f>
        <v/>
      </c>
      <c r="G187" s="9" t="str">
        <f t="shared" si="1"/>
        <v/>
      </c>
    </row>
    <row r="188">
      <c r="E188" t="str">
        <f>IF(A188,SUMIFS(Historic!$E:$E,Historic!$A:$A,"&lt;" &amp; $A188,Historic!$B:$B,"=" &amp; $B188),"")</f>
        <v/>
      </c>
      <c r="F188" s="59" t="str">
        <f>IF(A188,-SUMIFS(Historic!$G:$G,Historic!$A:$A,"&lt;" &amp; $A188,Historic!$B:$B,"=" &amp; $B188,Historic!$F:$F,"&lt;&gt;0"),"")</f>
        <v/>
      </c>
      <c r="G188" s="9" t="str">
        <f t="shared" si="1"/>
        <v/>
      </c>
    </row>
    <row r="189">
      <c r="E189" t="str">
        <f>IF(A189,SUMIFS(Historic!$E:$E,Historic!$A:$A,"&lt;" &amp; $A189,Historic!$B:$B,"=" &amp; $B189),"")</f>
        <v/>
      </c>
      <c r="F189" s="59" t="str">
        <f>IF(A189,-SUMIFS(Historic!$G:$G,Historic!$A:$A,"&lt;" &amp; $A189,Historic!$B:$B,"=" &amp; $B189,Historic!$F:$F,"&lt;&gt;0"),"")</f>
        <v/>
      </c>
      <c r="G189" s="9" t="str">
        <f t="shared" si="1"/>
        <v/>
      </c>
    </row>
    <row r="190">
      <c r="E190" t="str">
        <f>IF(A190,SUMIFS(Historic!$E:$E,Historic!$A:$A,"&lt;" &amp; $A190,Historic!$B:$B,"=" &amp; $B190),"")</f>
        <v/>
      </c>
      <c r="F190" s="59" t="str">
        <f>IF(A190,-SUMIFS(Historic!$G:$G,Historic!$A:$A,"&lt;" &amp; $A190,Historic!$B:$B,"=" &amp; $B190,Historic!$F:$F,"&lt;&gt;0"),"")</f>
        <v/>
      </c>
      <c r="G190" s="9" t="str">
        <f t="shared" si="1"/>
        <v/>
      </c>
    </row>
    <row r="191">
      <c r="E191" t="str">
        <f>IF(A191,SUMIFS(Historic!$E:$E,Historic!$A:$A,"&lt;" &amp; $A191,Historic!$B:$B,"=" &amp; $B191),"")</f>
        <v/>
      </c>
      <c r="F191" s="59" t="str">
        <f>IF(A191,-SUMIFS(Historic!$G:$G,Historic!$A:$A,"&lt;" &amp; $A191,Historic!$B:$B,"=" &amp; $B191,Historic!$F:$F,"&lt;&gt;0"),"")</f>
        <v/>
      </c>
      <c r="G191" s="9" t="str">
        <f t="shared" si="1"/>
        <v/>
      </c>
    </row>
    <row r="192">
      <c r="E192" t="str">
        <f>IF(A192,SUMIFS(Historic!$E:$E,Historic!$A:$A,"&lt;" &amp; $A192,Historic!$B:$B,"=" &amp; $B192),"")</f>
        <v/>
      </c>
      <c r="F192" s="59" t="str">
        <f>IF(A192,-SUMIFS(Historic!$G:$G,Historic!$A:$A,"&lt;" &amp; $A192,Historic!$B:$B,"=" &amp; $B192,Historic!$F:$F,"&lt;&gt;0"),"")</f>
        <v/>
      </c>
      <c r="G192" s="9" t="str">
        <f t="shared" si="1"/>
        <v/>
      </c>
    </row>
    <row r="193">
      <c r="E193" t="str">
        <f>IF(A193,SUMIFS(Historic!$E:$E,Historic!$A:$A,"&lt;" &amp; $A193,Historic!$B:$B,"=" &amp; $B193),"")</f>
        <v/>
      </c>
      <c r="F193" s="59" t="str">
        <f>IF(A193,-SUMIFS(Historic!$G:$G,Historic!$A:$A,"&lt;" &amp; $A193,Historic!$B:$B,"=" &amp; $B193,Historic!$F:$F,"&lt;&gt;0"),"")</f>
        <v/>
      </c>
      <c r="G193" s="9" t="str">
        <f t="shared" si="1"/>
        <v/>
      </c>
    </row>
    <row r="194">
      <c r="E194" t="str">
        <f>IF(A194,SUMIFS(Historic!$E:$E,Historic!$A:$A,"&lt;" &amp; $A194,Historic!$B:$B,"=" &amp; $B194),"")</f>
        <v/>
      </c>
      <c r="F194" s="59" t="str">
        <f>IF(A194,-SUMIFS(Historic!$G:$G,Historic!$A:$A,"&lt;" &amp; $A194,Historic!$B:$B,"=" &amp; $B194,Historic!$F:$F,"&lt;&gt;0"),"")</f>
        <v/>
      </c>
      <c r="G194" s="9" t="str">
        <f t="shared" si="1"/>
        <v/>
      </c>
    </row>
    <row r="195">
      <c r="E195" t="str">
        <f>IF(A195,SUMIFS(Historic!$E:$E,Historic!$A:$A,"&lt;" &amp; $A195,Historic!$B:$B,"=" &amp; $B195),"")</f>
        <v/>
      </c>
      <c r="F195" s="59" t="str">
        <f>IF(A195,-SUMIFS(Historic!$G:$G,Historic!$A:$A,"&lt;" &amp; $A195,Historic!$B:$B,"=" &amp; $B195,Historic!$F:$F,"&lt;&gt;0"),"")</f>
        <v/>
      </c>
      <c r="G195" s="9" t="str">
        <f t="shared" si="1"/>
        <v/>
      </c>
    </row>
    <row r="196">
      <c r="E196" t="str">
        <f>IF(A196,SUMIFS(Historic!$E:$E,Historic!$A:$A,"&lt;" &amp; $A196,Historic!$B:$B,"=" &amp; $B196),"")</f>
        <v/>
      </c>
      <c r="F196" s="59" t="str">
        <f>IF(A196,-SUMIFS(Historic!$G:$G,Historic!$A:$A,"&lt;" &amp; $A196,Historic!$B:$B,"=" &amp; $B196,Historic!$F:$F,"&lt;&gt;0"),"")</f>
        <v/>
      </c>
      <c r="G196" s="9" t="str">
        <f t="shared" si="1"/>
        <v/>
      </c>
    </row>
    <row r="197">
      <c r="E197" t="str">
        <f>IF(A197,SUMIFS(Historic!$E:$E,Historic!$A:$A,"&lt;" &amp; $A197,Historic!$B:$B,"=" &amp; $B197),"")</f>
        <v/>
      </c>
      <c r="F197" s="59" t="str">
        <f>IF(A197,-SUMIFS(Historic!$G:$G,Historic!$A:$A,"&lt;" &amp; $A197,Historic!$B:$B,"=" &amp; $B197,Historic!$F:$F,"&lt;&gt;0"),"")</f>
        <v/>
      </c>
      <c r="G197" s="9" t="str">
        <f t="shared" si="1"/>
        <v/>
      </c>
    </row>
    <row r="198">
      <c r="E198" t="str">
        <f>IF(A198,SUMIFS(Historic!$E:$E,Historic!$A:$A,"&lt;" &amp; $A198,Historic!$B:$B,"=" &amp; $B198),"")</f>
        <v/>
      </c>
      <c r="F198" s="59" t="str">
        <f>IF(A198,-SUMIFS(Historic!$G:$G,Historic!$A:$A,"&lt;" &amp; $A198,Historic!$B:$B,"=" &amp; $B198,Historic!$F:$F,"&lt;&gt;0"),"")</f>
        <v/>
      </c>
      <c r="G198" s="9" t="str">
        <f t="shared" si="1"/>
        <v/>
      </c>
    </row>
    <row r="199">
      <c r="E199" t="str">
        <f>IF(A199,SUMIFS(Historic!$E:$E,Historic!$A:$A,"&lt;" &amp; $A199,Historic!$B:$B,"=" &amp; $B199),"")</f>
        <v/>
      </c>
      <c r="F199" s="59" t="str">
        <f>IF(A199,-SUMIFS(Historic!$G:$G,Historic!$A:$A,"&lt;" &amp; $A199,Historic!$B:$B,"=" &amp; $B199,Historic!$F:$F,"&lt;&gt;0"),"")</f>
        <v/>
      </c>
      <c r="G199" s="9" t="str">
        <f t="shared" si="1"/>
        <v/>
      </c>
    </row>
    <row r="200">
      <c r="E200" t="str">
        <f>IF(A200,SUMIFS(Historic!$E:$E,Historic!$A:$A,"&lt;" &amp; $A200,Historic!$B:$B,"=" &amp; $B200),"")</f>
        <v/>
      </c>
      <c r="F200" s="59" t="str">
        <f>IF(A200,-SUMIFS(Historic!$G:$G,Historic!$A:$A,"&lt;" &amp; $A200,Historic!$B:$B,"=" &amp; $B200,Historic!$F:$F,"&lt;&gt;0"),"")</f>
        <v/>
      </c>
      <c r="G200" s="9" t="str">
        <f t="shared" si="1"/>
        <v/>
      </c>
    </row>
    <row r="201">
      <c r="E201" t="str">
        <f>IF(A201,SUMIFS(Historic!$E:$E,Historic!$A:$A,"&lt;" &amp; $A201,Historic!$B:$B,"=" &amp; $B201),"")</f>
        <v/>
      </c>
      <c r="F201" s="59" t="str">
        <f>IF(A201,-SUMIFS(Historic!$G:$G,Historic!$A:$A,"&lt;" &amp; $A201,Historic!$B:$B,"=" &amp; $B201,Historic!$F:$F,"&lt;&gt;0"),"")</f>
        <v/>
      </c>
      <c r="G201" s="9" t="str">
        <f t="shared" si="1"/>
        <v/>
      </c>
    </row>
    <row r="202">
      <c r="E202" t="str">
        <f>IF(A202,SUMIFS(Historic!$E:$E,Historic!$A:$A,"&lt;" &amp; $A202,Historic!$B:$B,"=" &amp; $B202),"")</f>
        <v/>
      </c>
      <c r="F202" s="59" t="str">
        <f>IF(A202,-SUMIFS(Historic!$G:$G,Historic!$A:$A,"&lt;" &amp; $A202,Historic!$B:$B,"=" &amp; $B202,Historic!$F:$F,"&lt;&gt;0"),"")</f>
        <v/>
      </c>
      <c r="G202" s="9" t="str">
        <f t="shared" si="1"/>
        <v/>
      </c>
    </row>
    <row r="203">
      <c r="E203" t="str">
        <f>IF(A203,SUMIFS(Historic!$E:$E,Historic!$A:$A,"&lt;" &amp; $A203,Historic!$B:$B,"=" &amp; $B203),"")</f>
        <v/>
      </c>
      <c r="F203" s="59" t="str">
        <f>IF(A203,-SUMIFS(Historic!$G:$G,Historic!$A:$A,"&lt;" &amp; $A203,Historic!$B:$B,"=" &amp; $B203,Historic!$F:$F,"&lt;&gt;0"),"")</f>
        <v/>
      </c>
      <c r="G203" s="9" t="str">
        <f t="shared" si="1"/>
        <v/>
      </c>
    </row>
    <row r="204">
      <c r="E204" t="str">
        <f>IF(A204,SUMIFS(Historic!$E:$E,Historic!$A:$A,"&lt;" &amp; $A204,Historic!$B:$B,"=" &amp; $B204),"")</f>
        <v/>
      </c>
      <c r="F204" s="59" t="str">
        <f>IF(A204,-SUMIFS(Historic!$G:$G,Historic!$A:$A,"&lt;" &amp; $A204,Historic!$B:$B,"=" &amp; $B204,Historic!$F:$F,"&lt;&gt;0"),"")</f>
        <v/>
      </c>
      <c r="G204" s="9" t="str">
        <f t="shared" si="1"/>
        <v/>
      </c>
    </row>
    <row r="205">
      <c r="E205" t="str">
        <f>IF(A205,SUMIFS(Historic!$E:$E,Historic!$A:$A,"&lt;" &amp; $A205,Historic!$B:$B,"=" &amp; $B205),"")</f>
        <v/>
      </c>
      <c r="F205" s="59" t="str">
        <f>IF(A205,-SUMIFS(Historic!$G:$G,Historic!$A:$A,"&lt;" &amp; $A205,Historic!$B:$B,"=" &amp; $B205,Historic!$F:$F,"&lt;&gt;0"),"")</f>
        <v/>
      </c>
      <c r="G205" s="9" t="str">
        <f t="shared" si="1"/>
        <v/>
      </c>
    </row>
    <row r="206">
      <c r="E206" t="str">
        <f>IF(A206,SUMIFS(Historic!$E:$E,Historic!$A:$A,"&lt;" &amp; $A206,Historic!$B:$B,"=" &amp; $B206),"")</f>
        <v/>
      </c>
      <c r="F206" s="59" t="str">
        <f>IF(A206,-SUMIFS(Historic!$G:$G,Historic!$A:$A,"&lt;" &amp; $A206,Historic!$B:$B,"=" &amp; $B206,Historic!$F:$F,"&lt;&gt;0"),"")</f>
        <v/>
      </c>
      <c r="G206" s="9" t="str">
        <f t="shared" si="1"/>
        <v/>
      </c>
    </row>
    <row r="207">
      <c r="E207" t="str">
        <f>IF(A207,SUMIFS(Historic!$E:$E,Historic!$A:$A,"&lt;" &amp; $A207,Historic!$B:$B,"=" &amp; $B207),"")</f>
        <v/>
      </c>
      <c r="F207" s="59" t="str">
        <f>IF(A207,-SUMIFS(Historic!$G:$G,Historic!$A:$A,"&lt;" &amp; $A207,Historic!$B:$B,"=" &amp; $B207,Historic!$F:$F,"&lt;&gt;0"),"")</f>
        <v/>
      </c>
      <c r="G207" s="9" t="str">
        <f t="shared" si="1"/>
        <v/>
      </c>
    </row>
    <row r="208">
      <c r="E208" t="str">
        <f>IF(A208,SUMIFS(Historic!$E:$E,Historic!$A:$A,"&lt;" &amp; $A208,Historic!$B:$B,"=" &amp; $B208),"")</f>
        <v/>
      </c>
      <c r="F208" s="59" t="str">
        <f>IF(A208,-SUMIFS(Historic!$G:$G,Historic!$A:$A,"&lt;" &amp; $A208,Historic!$B:$B,"=" &amp; $B208,Historic!$F:$F,"&lt;&gt;0"),"")</f>
        <v/>
      </c>
      <c r="G208" s="9" t="str">
        <f t="shared" si="1"/>
        <v/>
      </c>
    </row>
    <row r="209">
      <c r="E209" t="str">
        <f>IF(A209,SUMIFS(Historic!$E:$E,Historic!$A:$A,"&lt;" &amp; $A209,Historic!$B:$B,"=" &amp; $B209),"")</f>
        <v/>
      </c>
      <c r="F209" s="59" t="str">
        <f>IF(A209,-SUMIFS(Historic!$G:$G,Historic!$A:$A,"&lt;" &amp; $A209,Historic!$B:$B,"=" &amp; $B209,Historic!$F:$F,"&lt;&gt;0"),"")</f>
        <v/>
      </c>
      <c r="G209" s="9" t="str">
        <f t="shared" si="1"/>
        <v/>
      </c>
    </row>
    <row r="210">
      <c r="E210" t="str">
        <f>IF(A210,SUMIFS(Historic!$E:$E,Historic!$A:$A,"&lt;" &amp; $A210,Historic!$B:$B,"=" &amp; $B210),"")</f>
        <v/>
      </c>
      <c r="F210" s="59" t="str">
        <f>IF(A210,-SUMIFS(Historic!$G:$G,Historic!$A:$A,"&lt;" &amp; $A210,Historic!$B:$B,"=" &amp; $B210,Historic!$F:$F,"&lt;&gt;0"),"")</f>
        <v/>
      </c>
      <c r="G210" s="9" t="str">
        <f t="shared" si="1"/>
        <v/>
      </c>
    </row>
    <row r="211">
      <c r="E211" t="str">
        <f>IF(A211,SUMIFS(Historic!$E:$E,Historic!$A:$A,"&lt;" &amp; $A211,Historic!$B:$B,"=" &amp; $B211),"")</f>
        <v/>
      </c>
      <c r="F211" s="59" t="str">
        <f>IF(A211,-SUMIFS(Historic!$G:$G,Historic!$A:$A,"&lt;" &amp; $A211,Historic!$B:$B,"=" &amp; $B211,Historic!$F:$F,"&lt;&gt;0"),"")</f>
        <v/>
      </c>
      <c r="G211" s="9" t="str">
        <f t="shared" si="1"/>
        <v/>
      </c>
    </row>
    <row r="212">
      <c r="E212" t="str">
        <f>IF(A212,SUMIFS(Historic!$E:$E,Historic!$A:$A,"&lt;" &amp; $A212,Historic!$B:$B,"=" &amp; $B212),"")</f>
        <v/>
      </c>
      <c r="F212" s="59" t="str">
        <f>IF(A212,-SUMIFS(Historic!$G:$G,Historic!$A:$A,"&lt;" &amp; $A212,Historic!$B:$B,"=" &amp; $B212,Historic!$F:$F,"&lt;&gt;0"),"")</f>
        <v/>
      </c>
      <c r="G212" s="9" t="str">
        <f t="shared" si="1"/>
        <v/>
      </c>
    </row>
    <row r="213">
      <c r="E213" t="str">
        <f>IF(A213,SUMIFS(Historic!$E:$E,Historic!$A:$A,"&lt;" &amp; $A213,Historic!$B:$B,"=" &amp; $B213),"")</f>
        <v/>
      </c>
      <c r="F213" s="59" t="str">
        <f>IF(A213,-SUMIFS(Historic!$G:$G,Historic!$A:$A,"&lt;" &amp; $A213,Historic!$B:$B,"=" &amp; $B213,Historic!$F:$F,"&lt;&gt;0"),"")</f>
        <v/>
      </c>
      <c r="G213" s="9" t="str">
        <f t="shared" si="1"/>
        <v/>
      </c>
    </row>
    <row r="214">
      <c r="E214" t="str">
        <f>IF(A214,SUMIFS(Historic!$E:$E,Historic!$A:$A,"&lt;" &amp; $A214,Historic!$B:$B,"=" &amp; $B214),"")</f>
        <v/>
      </c>
      <c r="F214" s="59" t="str">
        <f>IF(A214,-SUMIFS(Historic!$G:$G,Historic!$A:$A,"&lt;" &amp; $A214,Historic!$B:$B,"=" &amp; $B214,Historic!$F:$F,"&lt;&gt;0"),"")</f>
        <v/>
      </c>
      <c r="G214" s="9" t="str">
        <f t="shared" si="1"/>
        <v/>
      </c>
    </row>
    <row r="215">
      <c r="E215" t="str">
        <f>IF(A215,SUMIFS(Historic!$E:$E,Historic!$A:$A,"&lt;" &amp; $A215,Historic!$B:$B,"=" &amp; $B215),"")</f>
        <v/>
      </c>
      <c r="F215" s="59" t="str">
        <f>IF(A215,-SUMIFS(Historic!$G:$G,Historic!$A:$A,"&lt;" &amp; $A215,Historic!$B:$B,"=" &amp; $B215,Historic!$F:$F,"&lt;&gt;0"),"")</f>
        <v/>
      </c>
      <c r="G215" s="9" t="str">
        <f t="shared" si="1"/>
        <v/>
      </c>
    </row>
    <row r="216">
      <c r="E216" t="str">
        <f>IF(A216,SUMIFS(Historic!$E:$E,Historic!$A:$A,"&lt;" &amp; $A216,Historic!$B:$B,"=" &amp; $B216),"")</f>
        <v/>
      </c>
      <c r="F216" s="59" t="str">
        <f>IF(A216,-SUMIFS(Historic!$G:$G,Historic!$A:$A,"&lt;" &amp; $A216,Historic!$B:$B,"=" &amp; $B216,Historic!$F:$F,"&lt;&gt;0"),"")</f>
        <v/>
      </c>
      <c r="G216" s="9" t="str">
        <f t="shared" si="1"/>
        <v/>
      </c>
    </row>
    <row r="217">
      <c r="E217" t="str">
        <f>IF(A217,SUMIFS(Historic!$E:$E,Historic!$A:$A,"&lt;" &amp; $A217,Historic!$B:$B,"=" &amp; $B217),"")</f>
        <v/>
      </c>
      <c r="F217" s="59" t="str">
        <f>IF(A217,-SUMIFS(Historic!$G:$G,Historic!$A:$A,"&lt;" &amp; $A217,Historic!$B:$B,"=" &amp; $B217,Historic!$F:$F,"&lt;&gt;0"),"")</f>
        <v/>
      </c>
      <c r="G217" s="9" t="str">
        <f t="shared" si="1"/>
        <v/>
      </c>
    </row>
    <row r="218">
      <c r="E218" t="str">
        <f>IF(A218,SUMIFS(Historic!$E:$E,Historic!$A:$A,"&lt;" &amp; $A218,Historic!$B:$B,"=" &amp; $B218),"")</f>
        <v/>
      </c>
      <c r="F218" s="59" t="str">
        <f>IF(A218,-SUMIFS(Historic!$G:$G,Historic!$A:$A,"&lt;" &amp; $A218,Historic!$B:$B,"=" &amp; $B218,Historic!$F:$F,"&lt;&gt;0"),"")</f>
        <v/>
      </c>
      <c r="G218" s="9" t="str">
        <f t="shared" si="1"/>
        <v/>
      </c>
    </row>
    <row r="219">
      <c r="E219" t="str">
        <f>IF(A219,SUMIFS(Historic!$E:$E,Historic!$A:$A,"&lt;" &amp; $A219,Historic!$B:$B,"=" &amp; $B219),"")</f>
        <v/>
      </c>
      <c r="F219" s="59" t="str">
        <f>IF(A219,-SUMIFS(Historic!$G:$G,Historic!$A:$A,"&lt;" &amp; $A219,Historic!$B:$B,"=" &amp; $B219,Historic!$F:$F,"&lt;&gt;0"),"")</f>
        <v/>
      </c>
      <c r="G219" s="9" t="str">
        <f t="shared" si="1"/>
        <v/>
      </c>
    </row>
    <row r="220">
      <c r="E220" t="str">
        <f>IF(A220,SUMIFS(Historic!$E:$E,Historic!$A:$A,"&lt;" &amp; $A220,Historic!$B:$B,"=" &amp; $B220),"")</f>
        <v/>
      </c>
      <c r="F220" s="59" t="str">
        <f>IF(A220,-SUMIFS(Historic!$G:$G,Historic!$A:$A,"&lt;" &amp; $A220,Historic!$B:$B,"=" &amp; $B220,Historic!$F:$F,"&lt;&gt;0"),"")</f>
        <v/>
      </c>
      <c r="G220" s="9" t="str">
        <f t="shared" si="1"/>
        <v/>
      </c>
    </row>
    <row r="221">
      <c r="E221" t="str">
        <f>IF(A221,SUMIFS(Historic!$E:$E,Historic!$A:$A,"&lt;" &amp; $A221,Historic!$B:$B,"=" &amp; $B221),"")</f>
        <v/>
      </c>
      <c r="F221" s="59" t="str">
        <f>IF(A221,-SUMIFS(Historic!$G:$G,Historic!$A:$A,"&lt;" &amp; $A221,Historic!$B:$B,"=" &amp; $B221,Historic!$F:$F,"&lt;&gt;0"),"")</f>
        <v/>
      </c>
      <c r="G221" s="9" t="str">
        <f t="shared" si="1"/>
        <v/>
      </c>
    </row>
    <row r="222">
      <c r="E222" t="str">
        <f>IF(A222,SUMIFS(Historic!$E:$E,Historic!$A:$A,"&lt;" &amp; $A222,Historic!$B:$B,"=" &amp; $B222),"")</f>
        <v/>
      </c>
      <c r="F222" s="59" t="str">
        <f>IF(A222,-SUMIFS(Historic!$G:$G,Historic!$A:$A,"&lt;" &amp; $A222,Historic!$B:$B,"=" &amp; $B222,Historic!$F:$F,"&lt;&gt;0"),"")</f>
        <v/>
      </c>
      <c r="G222" s="9" t="str">
        <f t="shared" si="1"/>
        <v/>
      </c>
    </row>
    <row r="223">
      <c r="E223" t="str">
        <f>IF(A223,SUMIFS(Historic!$E:$E,Historic!$A:$A,"&lt;" &amp; $A223,Historic!$B:$B,"=" &amp; $B223),"")</f>
        <v/>
      </c>
      <c r="F223" s="59" t="str">
        <f>IF(A223,-SUMIFS(Historic!$G:$G,Historic!$A:$A,"&lt;" &amp; $A223,Historic!$B:$B,"=" &amp; $B223,Historic!$F:$F,"&lt;&gt;0"),"")</f>
        <v/>
      </c>
      <c r="G223" s="9" t="str">
        <f t="shared" si="1"/>
        <v/>
      </c>
    </row>
    <row r="224">
      <c r="E224" t="str">
        <f>IF(A224,SUMIFS(Historic!$E:$E,Historic!$A:$A,"&lt;" &amp; $A224,Historic!$B:$B,"=" &amp; $B224),"")</f>
        <v/>
      </c>
      <c r="F224" s="59" t="str">
        <f>IF(A224,-SUMIFS(Historic!$G:$G,Historic!$A:$A,"&lt;" &amp; $A224,Historic!$B:$B,"=" &amp; $B224,Historic!$F:$F,"&lt;&gt;0"),"")</f>
        <v/>
      </c>
      <c r="G224" s="9" t="str">
        <f t="shared" si="1"/>
        <v/>
      </c>
    </row>
    <row r="225">
      <c r="E225" t="str">
        <f>IF(A225,SUMIFS(Historic!$E:$E,Historic!$A:$A,"&lt;" &amp; $A225,Historic!$B:$B,"=" &amp; $B225),"")</f>
        <v/>
      </c>
      <c r="F225" s="59" t="str">
        <f>IF(A225,-SUMIFS(Historic!$G:$G,Historic!$A:$A,"&lt;" &amp; $A225,Historic!$B:$B,"=" &amp; $B225,Historic!$F:$F,"&lt;&gt;0"),"")</f>
        <v/>
      </c>
      <c r="G225" s="9" t="str">
        <f t="shared" si="1"/>
        <v/>
      </c>
    </row>
    <row r="226">
      <c r="E226" t="str">
        <f>IF(A226,SUMIFS(Historic!$E:$E,Historic!$A:$A,"&lt;" &amp; $A226,Historic!$B:$B,"=" &amp; $B226),"")</f>
        <v/>
      </c>
      <c r="F226" s="59" t="str">
        <f>IF(A226,-SUMIFS(Historic!$G:$G,Historic!$A:$A,"&lt;" &amp; $A226,Historic!$B:$B,"=" &amp; $B226,Historic!$F:$F,"&lt;&gt;0"),"")</f>
        <v/>
      </c>
      <c r="G226" s="9" t="str">
        <f t="shared" si="1"/>
        <v/>
      </c>
    </row>
    <row r="227">
      <c r="E227" t="str">
        <f>IF(A227,SUMIFS(Historic!$E:$E,Historic!$A:$A,"&lt;" &amp; $A227,Historic!$B:$B,"=" &amp; $B227),"")</f>
        <v/>
      </c>
      <c r="F227" s="59" t="str">
        <f>IF(A227,-SUMIFS(Historic!$G:$G,Historic!$A:$A,"&lt;" &amp; $A227,Historic!$B:$B,"=" &amp; $B227,Historic!$F:$F,"&lt;&gt;0"),"")</f>
        <v/>
      </c>
      <c r="G227" s="9" t="str">
        <f t="shared" si="1"/>
        <v/>
      </c>
    </row>
    <row r="228">
      <c r="E228" t="str">
        <f>IF(A228,SUMIFS(Historic!$E:$E,Historic!$A:$A,"&lt;" &amp; $A228,Historic!$B:$B,"=" &amp; $B228),"")</f>
        <v/>
      </c>
      <c r="F228" s="59" t="str">
        <f>IF(A228,-SUMIFS(Historic!$G:$G,Historic!$A:$A,"&lt;" &amp; $A228,Historic!$B:$B,"=" &amp; $B228,Historic!$F:$F,"&lt;&gt;0"),"")</f>
        <v/>
      </c>
      <c r="G228" s="9" t="str">
        <f t="shared" si="1"/>
        <v/>
      </c>
    </row>
    <row r="229">
      <c r="E229" t="str">
        <f>IF(A229,SUMIFS(Historic!$E:$E,Historic!$A:$A,"&lt;" &amp; $A229,Historic!$B:$B,"=" &amp; $B229),"")</f>
        <v/>
      </c>
      <c r="F229" s="59" t="str">
        <f>IF(A229,-SUMIFS(Historic!$G:$G,Historic!$A:$A,"&lt;" &amp; $A229,Historic!$B:$B,"=" &amp; $B229,Historic!$F:$F,"&lt;&gt;0"),"")</f>
        <v/>
      </c>
      <c r="G229" s="9" t="str">
        <f t="shared" si="1"/>
        <v/>
      </c>
    </row>
    <row r="230">
      <c r="E230" t="str">
        <f>IF(A230,SUMIFS(Historic!$E:$E,Historic!$A:$A,"&lt;" &amp; $A230,Historic!$B:$B,"=" &amp; $B230),"")</f>
        <v/>
      </c>
      <c r="F230" s="59" t="str">
        <f>IF(A230,-SUMIFS(Historic!$G:$G,Historic!$A:$A,"&lt;" &amp; $A230,Historic!$B:$B,"=" &amp; $B230,Historic!$F:$F,"&lt;&gt;0"),"")</f>
        <v/>
      </c>
      <c r="G230" s="9" t="str">
        <f t="shared" si="1"/>
        <v/>
      </c>
    </row>
    <row r="231">
      <c r="E231" t="str">
        <f>IF(A231,SUMIFS(Historic!$E:$E,Historic!$A:$A,"&lt;" &amp; $A231,Historic!$B:$B,"=" &amp; $B231),"")</f>
        <v/>
      </c>
      <c r="F231" s="59" t="str">
        <f>IF(A231,-SUMIFS(Historic!$G:$G,Historic!$A:$A,"&lt;" &amp; $A231,Historic!$B:$B,"=" &amp; $B231,Historic!$F:$F,"&lt;&gt;0"),"")</f>
        <v/>
      </c>
      <c r="G231" s="9" t="str">
        <f t="shared" si="1"/>
        <v/>
      </c>
    </row>
    <row r="232">
      <c r="E232" t="str">
        <f>IF(A232,SUMIFS(Historic!$E:$E,Historic!$A:$A,"&lt;" &amp; $A232,Historic!$B:$B,"=" &amp; $B232),"")</f>
        <v/>
      </c>
      <c r="F232" s="59" t="str">
        <f>IF(A232,-SUMIFS(Historic!$G:$G,Historic!$A:$A,"&lt;" &amp; $A232,Historic!$B:$B,"=" &amp; $B232,Historic!$F:$F,"&lt;&gt;0"),"")</f>
        <v/>
      </c>
      <c r="G232" s="9" t="str">
        <f t="shared" si="1"/>
        <v/>
      </c>
    </row>
    <row r="233">
      <c r="E233" t="str">
        <f>IF(A233,SUMIFS(Historic!$E:$E,Historic!$A:$A,"&lt;" &amp; $A233,Historic!$B:$B,"=" &amp; $B233),"")</f>
        <v/>
      </c>
      <c r="F233" s="59" t="str">
        <f>IF(A233,-SUMIFS(Historic!$G:$G,Historic!$A:$A,"&lt;" &amp; $A233,Historic!$B:$B,"=" &amp; $B233,Historic!$F:$F,"&lt;&gt;0"),"")</f>
        <v/>
      </c>
      <c r="G233" s="9" t="str">
        <f t="shared" si="1"/>
        <v/>
      </c>
    </row>
    <row r="234">
      <c r="E234" t="str">
        <f>IF(A234,SUMIFS(Historic!$E:$E,Historic!$A:$A,"&lt;" &amp; $A234,Historic!$B:$B,"=" &amp; $B234),"")</f>
        <v/>
      </c>
      <c r="F234" s="59" t="str">
        <f>IF(A234,-SUMIFS(Historic!$G:$G,Historic!$A:$A,"&lt;" &amp; $A234,Historic!$B:$B,"=" &amp; $B234,Historic!$F:$F,"&lt;&gt;0"),"")</f>
        <v/>
      </c>
      <c r="G234" s="9" t="str">
        <f t="shared" si="1"/>
        <v/>
      </c>
    </row>
    <row r="235">
      <c r="E235" t="str">
        <f>IF(A235,SUMIFS(Historic!$E:$E,Historic!$A:$A,"&lt;" &amp; $A235,Historic!$B:$B,"=" &amp; $B235),"")</f>
        <v/>
      </c>
      <c r="F235" s="59" t="str">
        <f>IF(A235,-SUMIFS(Historic!$G:$G,Historic!$A:$A,"&lt;" &amp; $A235,Historic!$B:$B,"=" &amp; $B235,Historic!$F:$F,"&lt;&gt;0"),"")</f>
        <v/>
      </c>
      <c r="G235" s="9" t="str">
        <f t="shared" si="1"/>
        <v/>
      </c>
    </row>
    <row r="236">
      <c r="E236" t="str">
        <f>IF(A236,SUMIFS(Historic!$E:$E,Historic!$A:$A,"&lt;" &amp; $A236,Historic!$B:$B,"=" &amp; $B236),"")</f>
        <v/>
      </c>
      <c r="F236" s="59" t="str">
        <f>IF(A236,-SUMIFS(Historic!$G:$G,Historic!$A:$A,"&lt;" &amp; $A236,Historic!$B:$B,"=" &amp; $B236,Historic!$F:$F,"&lt;&gt;0"),"")</f>
        <v/>
      </c>
      <c r="G236" s="9" t="str">
        <f t="shared" si="1"/>
        <v/>
      </c>
    </row>
    <row r="237">
      <c r="E237" t="str">
        <f>IF(A237,SUMIFS(Historic!$E:$E,Historic!$A:$A,"&lt;" &amp; $A237,Historic!$B:$B,"=" &amp; $B237),"")</f>
        <v/>
      </c>
      <c r="F237" s="59" t="str">
        <f>IF(A237,-SUMIFS(Historic!$G:$G,Historic!$A:$A,"&lt;" &amp; $A237,Historic!$B:$B,"=" &amp; $B237,Historic!$F:$F,"&lt;&gt;0"),"")</f>
        <v/>
      </c>
      <c r="G237" s="9" t="str">
        <f t="shared" si="1"/>
        <v/>
      </c>
    </row>
    <row r="238">
      <c r="E238" t="str">
        <f>IF(A238,SUMIFS(Historic!$E:$E,Historic!$A:$A,"&lt;" &amp; $A238,Historic!$B:$B,"=" &amp; $B238),"")</f>
        <v/>
      </c>
      <c r="F238" s="59" t="str">
        <f>IF(A238,-SUMIFS(Historic!$G:$G,Historic!$A:$A,"&lt;" &amp; $A238,Historic!$B:$B,"=" &amp; $B238,Historic!$F:$F,"&lt;&gt;0"),"")</f>
        <v/>
      </c>
      <c r="G238" s="9" t="str">
        <f t="shared" si="1"/>
        <v/>
      </c>
    </row>
    <row r="239">
      <c r="E239" t="str">
        <f>IF(A239,SUMIFS(Historic!$E:$E,Historic!$A:$A,"&lt;" &amp; $A239,Historic!$B:$B,"=" &amp; $B239),"")</f>
        <v/>
      </c>
      <c r="F239" s="59" t="str">
        <f>IF(A239,-SUMIFS(Historic!$G:$G,Historic!$A:$A,"&lt;" &amp; $A239,Historic!$B:$B,"=" &amp; $B239,Historic!$F:$F,"&lt;&gt;0"),"")</f>
        <v/>
      </c>
      <c r="G239" s="9" t="str">
        <f t="shared" si="1"/>
        <v/>
      </c>
    </row>
    <row r="240">
      <c r="E240" t="str">
        <f>IF(A240,SUMIFS(Historic!$E:$E,Historic!$A:$A,"&lt;" &amp; $A240,Historic!$B:$B,"=" &amp; $B240),"")</f>
        <v/>
      </c>
      <c r="F240" s="59" t="str">
        <f>IF(A240,-SUMIFS(Historic!$G:$G,Historic!$A:$A,"&lt;" &amp; $A240,Historic!$B:$B,"=" &amp; $B240,Historic!$F:$F,"&lt;&gt;0"),"")</f>
        <v/>
      </c>
      <c r="G240" s="9" t="str">
        <f t="shared" si="1"/>
        <v/>
      </c>
    </row>
    <row r="241">
      <c r="E241" t="str">
        <f>IF(A241,SUMIFS(Historic!$E:$E,Historic!$A:$A,"&lt;" &amp; $A241,Historic!$B:$B,"=" &amp; $B241),"")</f>
        <v/>
      </c>
      <c r="F241" s="59" t="str">
        <f>IF(A241,-SUMIFS(Historic!$G:$G,Historic!$A:$A,"&lt;" &amp; $A241,Historic!$B:$B,"=" &amp; $B241,Historic!$F:$F,"&lt;&gt;0"),"")</f>
        <v/>
      </c>
      <c r="G241" s="9" t="str">
        <f t="shared" si="1"/>
        <v/>
      </c>
    </row>
    <row r="242">
      <c r="E242" t="str">
        <f>IF(A242,SUMIFS(Historic!$E:$E,Historic!$A:$A,"&lt;" &amp; $A242,Historic!$B:$B,"=" &amp; $B242),"")</f>
        <v/>
      </c>
      <c r="F242" s="59" t="str">
        <f>IF(A242,-SUMIFS(Historic!$G:$G,Historic!$A:$A,"&lt;" &amp; $A242,Historic!$B:$B,"=" &amp; $B242,Historic!$F:$F,"&lt;&gt;0"),"")</f>
        <v/>
      </c>
      <c r="G242" s="9" t="str">
        <f t="shared" si="1"/>
        <v/>
      </c>
    </row>
    <row r="243">
      <c r="E243" t="str">
        <f>IF(A243,SUMIFS(Historic!$E:$E,Historic!$A:$A,"&lt;" &amp; $A243,Historic!$B:$B,"=" &amp; $B243),"")</f>
        <v/>
      </c>
      <c r="F243" s="59" t="str">
        <f>IF(A243,-SUMIFS(Historic!$G:$G,Historic!$A:$A,"&lt;" &amp; $A243,Historic!$B:$B,"=" &amp; $B243,Historic!$F:$F,"&lt;&gt;0"),"")</f>
        <v/>
      </c>
      <c r="G243" s="9" t="str">
        <f t="shared" si="1"/>
        <v/>
      </c>
    </row>
    <row r="244">
      <c r="E244" t="str">
        <f>IF(A244,SUMIFS(Historic!$E:$E,Historic!$A:$A,"&lt;" &amp; $A244,Historic!$B:$B,"=" &amp; $B244),"")</f>
        <v/>
      </c>
      <c r="F244" s="59" t="str">
        <f>IF(A244,-SUMIFS(Historic!$G:$G,Historic!$A:$A,"&lt;" &amp; $A244,Historic!$B:$B,"=" &amp; $B244,Historic!$F:$F,"&lt;&gt;0"),"")</f>
        <v/>
      </c>
      <c r="G244" s="9" t="str">
        <f t="shared" si="1"/>
        <v/>
      </c>
    </row>
    <row r="245">
      <c r="E245" t="str">
        <f>IF(A245,SUMIFS(Historic!$E:$E,Historic!$A:$A,"&lt;" &amp; $A245,Historic!$B:$B,"=" &amp; $B245),"")</f>
        <v/>
      </c>
      <c r="F245" s="59" t="str">
        <f>IF(A245,-SUMIFS(Historic!$G:$G,Historic!$A:$A,"&lt;" &amp; $A245,Historic!$B:$B,"=" &amp; $B245,Historic!$F:$F,"&lt;&gt;0"),"")</f>
        <v/>
      </c>
      <c r="G245" s="9" t="str">
        <f t="shared" si="1"/>
        <v/>
      </c>
    </row>
    <row r="246">
      <c r="E246" t="str">
        <f>IF(A246,SUMIFS(Historic!$E:$E,Historic!$A:$A,"&lt;" &amp; $A246,Historic!$B:$B,"=" &amp; $B246),"")</f>
        <v/>
      </c>
      <c r="F246" s="59" t="str">
        <f>IF(A246,-SUMIFS(Historic!$G:$G,Historic!$A:$A,"&lt;" &amp; $A246,Historic!$B:$B,"=" &amp; $B246,Historic!$F:$F,"&lt;&gt;0"),"")</f>
        <v/>
      </c>
      <c r="G246" s="9" t="str">
        <f t="shared" si="1"/>
        <v/>
      </c>
    </row>
    <row r="247">
      <c r="E247" t="str">
        <f>IF(A247,SUMIFS(Historic!$E:$E,Historic!$A:$A,"&lt;" &amp; $A247,Historic!$B:$B,"=" &amp; $B247),"")</f>
        <v/>
      </c>
      <c r="F247" s="59" t="str">
        <f>IF(A247,-SUMIFS(Historic!$G:$G,Historic!$A:$A,"&lt;" &amp; $A247,Historic!$B:$B,"=" &amp; $B247,Historic!$F:$F,"&lt;&gt;0"),"")</f>
        <v/>
      </c>
      <c r="G247" s="9" t="str">
        <f t="shared" si="1"/>
        <v/>
      </c>
    </row>
    <row r="248">
      <c r="E248" t="str">
        <f>IF(A248,SUMIFS(Historic!$E:$E,Historic!$A:$A,"&lt;" &amp; $A248,Historic!$B:$B,"=" &amp; $B248),"")</f>
        <v/>
      </c>
      <c r="F248" s="59" t="str">
        <f>IF(A248,-SUMIFS(Historic!$G:$G,Historic!$A:$A,"&lt;" &amp; $A248,Historic!$B:$B,"=" &amp; $B248,Historic!$F:$F,"&lt;&gt;0"),"")</f>
        <v/>
      </c>
      <c r="G248" s="9" t="str">
        <f t="shared" si="1"/>
        <v/>
      </c>
    </row>
    <row r="249">
      <c r="E249" t="str">
        <f>IF(A249,SUMIFS(Historic!$E:$E,Historic!$A:$A,"&lt;" &amp; $A249,Historic!$B:$B,"=" &amp; $B249),"")</f>
        <v/>
      </c>
      <c r="F249" s="59" t="str">
        <f>IF(A249,-SUMIFS(Historic!$G:$G,Historic!$A:$A,"&lt;" &amp; $A249,Historic!$B:$B,"=" &amp; $B249,Historic!$F:$F,"&lt;&gt;0"),"")</f>
        <v/>
      </c>
      <c r="G249" s="9" t="str">
        <f t="shared" si="1"/>
        <v/>
      </c>
    </row>
    <row r="250">
      <c r="E250" t="str">
        <f>IF(A250,SUMIFS(Historic!$E:$E,Historic!$A:$A,"&lt;" &amp; $A250,Historic!$B:$B,"=" &amp; $B250),"")</f>
        <v/>
      </c>
      <c r="F250" s="59" t="str">
        <f>IF(A250,-SUMIFS(Historic!$G:$G,Historic!$A:$A,"&lt;" &amp; $A250,Historic!$B:$B,"=" &amp; $B250,Historic!$F:$F,"&lt;&gt;0"),"")</f>
        <v/>
      </c>
      <c r="G250" s="9" t="str">
        <f t="shared" si="1"/>
        <v/>
      </c>
    </row>
    <row r="251">
      <c r="E251" t="str">
        <f>IF(A251,SUMIFS(Historic!$E:$E,Historic!$A:$A,"&lt;" &amp; $A251,Historic!$B:$B,"=" &amp; $B251),"")</f>
        <v/>
      </c>
      <c r="F251" s="59" t="str">
        <f>IF(A251,-SUMIFS(Historic!$G:$G,Historic!$A:$A,"&lt;" &amp; $A251,Historic!$B:$B,"=" &amp; $B251,Historic!$F:$F,"&lt;&gt;0"),"")</f>
        <v/>
      </c>
      <c r="G251" s="9" t="str">
        <f t="shared" si="1"/>
        <v/>
      </c>
    </row>
    <row r="252">
      <c r="E252" t="str">
        <f>IF(A252,SUMIFS(Historic!$E:$E,Historic!$A:$A,"&lt;" &amp; $A252,Historic!$B:$B,"=" &amp; $B252),"")</f>
        <v/>
      </c>
      <c r="F252" s="59" t="str">
        <f>IF(A252,-SUMIFS(Historic!$G:$G,Historic!$A:$A,"&lt;" &amp; $A252,Historic!$B:$B,"=" &amp; $B252,Historic!$F:$F,"&lt;&gt;0"),"")</f>
        <v/>
      </c>
      <c r="G252" s="9" t="str">
        <f t="shared" si="1"/>
        <v/>
      </c>
    </row>
    <row r="253">
      <c r="E253" t="str">
        <f>IF(A253,SUMIFS(Historic!$E:$E,Historic!$A:$A,"&lt;" &amp; $A253,Historic!$B:$B,"=" &amp; $B253),"")</f>
        <v/>
      </c>
      <c r="F253" s="59" t="str">
        <f>IF(A253,-SUMIFS(Historic!$G:$G,Historic!$A:$A,"&lt;" &amp; $A253,Historic!$B:$B,"=" &amp; $B253,Historic!$F:$F,"&lt;&gt;0"),"")</f>
        <v/>
      </c>
      <c r="G253" s="9" t="str">
        <f t="shared" si="1"/>
        <v/>
      </c>
    </row>
    <row r="254">
      <c r="E254" t="str">
        <f>IF(A254,SUMIFS(Historic!$E:$E,Historic!$A:$A,"&lt;" &amp; $A254,Historic!$B:$B,"=" &amp; $B254),"")</f>
        <v/>
      </c>
      <c r="F254" s="59" t="str">
        <f>IF(A254,-SUMIFS(Historic!$G:$G,Historic!$A:$A,"&lt;" &amp; $A254,Historic!$B:$B,"=" &amp; $B254,Historic!$F:$F,"&lt;&gt;0"),"")</f>
        <v/>
      </c>
      <c r="G254" s="9" t="str">
        <f t="shared" si="1"/>
        <v/>
      </c>
    </row>
    <row r="255">
      <c r="E255" t="str">
        <f>IF(A255,SUMIFS(Historic!$E:$E,Historic!$A:$A,"&lt;" &amp; $A255,Historic!$B:$B,"=" &amp; $B255),"")</f>
        <v/>
      </c>
      <c r="F255" s="59" t="str">
        <f>IF(A255,-SUMIFS(Historic!$G:$G,Historic!$A:$A,"&lt;" &amp; $A255,Historic!$B:$B,"=" &amp; $B255,Historic!$F:$F,"&lt;&gt;0"),"")</f>
        <v/>
      </c>
      <c r="G255" s="9" t="str">
        <f t="shared" si="1"/>
        <v/>
      </c>
    </row>
    <row r="256">
      <c r="E256" t="str">
        <f>IF(A256,SUMIFS(Historic!$E:$E,Historic!$A:$A,"&lt;" &amp; $A256,Historic!$B:$B,"=" &amp; $B256),"")</f>
        <v/>
      </c>
      <c r="F256" s="59" t="str">
        <f>IF(A256,-SUMIFS(Historic!$G:$G,Historic!$A:$A,"&lt;" &amp; $A256,Historic!$B:$B,"=" &amp; $B256,Historic!$F:$F,"&lt;&gt;0"),"")</f>
        <v/>
      </c>
      <c r="G256" s="9" t="str">
        <f t="shared" si="1"/>
        <v/>
      </c>
    </row>
    <row r="257">
      <c r="E257" t="str">
        <f>IF(A257,SUMIFS(Historic!$E:$E,Historic!$A:$A,"&lt;" &amp; $A257,Historic!$B:$B,"=" &amp; $B257),"")</f>
        <v/>
      </c>
      <c r="F257" s="59" t="str">
        <f>IF(A257,-SUMIFS(Historic!$G:$G,Historic!$A:$A,"&lt;" &amp; $A257,Historic!$B:$B,"=" &amp; $B257,Historic!$F:$F,"&lt;&gt;0"),"")</f>
        <v/>
      </c>
      <c r="G257" s="9" t="str">
        <f t="shared" si="1"/>
        <v/>
      </c>
    </row>
    <row r="258">
      <c r="E258" t="str">
        <f>IF(A258,SUMIFS(Historic!$E:$E,Historic!$A:$A,"&lt;" &amp; $A258,Historic!$B:$B,"=" &amp; $B258),"")</f>
        <v/>
      </c>
      <c r="F258" s="59" t="str">
        <f>IF(A258,-SUMIFS(Historic!$G:$G,Historic!$A:$A,"&lt;" &amp; $A258,Historic!$B:$B,"=" &amp; $B258,Historic!$F:$F,"&lt;&gt;0"),"")</f>
        <v/>
      </c>
      <c r="G258" s="9" t="str">
        <f t="shared" si="1"/>
        <v/>
      </c>
    </row>
    <row r="259">
      <c r="E259" t="str">
        <f>IF(A259,SUMIFS(Historic!$E:$E,Historic!$A:$A,"&lt;" &amp; $A259,Historic!$B:$B,"=" &amp; $B259),"")</f>
        <v/>
      </c>
      <c r="F259" s="59" t="str">
        <f>IF(A259,-SUMIFS(Historic!$G:$G,Historic!$A:$A,"&lt;" &amp; $A259,Historic!$B:$B,"=" &amp; $B259,Historic!$F:$F,"&lt;&gt;0"),"")</f>
        <v/>
      </c>
      <c r="G259" s="9" t="str">
        <f t="shared" si="1"/>
        <v/>
      </c>
    </row>
    <row r="260">
      <c r="E260" t="str">
        <f>IF(A260,SUMIFS(Historic!$E:$E,Historic!$A:$A,"&lt;" &amp; $A260,Historic!$B:$B,"=" &amp; $B260),"")</f>
        <v/>
      </c>
      <c r="F260" s="59" t="str">
        <f>IF(A260,-SUMIFS(Historic!$G:$G,Historic!$A:$A,"&lt;" &amp; $A260,Historic!$B:$B,"=" &amp; $B260,Historic!$F:$F,"&lt;&gt;0"),"")</f>
        <v/>
      </c>
      <c r="G260" s="9" t="str">
        <f t="shared" si="1"/>
        <v/>
      </c>
    </row>
    <row r="261">
      <c r="E261" t="str">
        <f>IF(A261,SUMIFS(Historic!$E:$E,Historic!$A:$A,"&lt;" &amp; $A261,Historic!$B:$B,"=" &amp; $B261),"")</f>
        <v/>
      </c>
      <c r="F261" s="59" t="str">
        <f>IF(A261,-SUMIFS(Historic!$G:$G,Historic!$A:$A,"&lt;" &amp; $A261,Historic!$B:$B,"=" &amp; $B261,Historic!$F:$F,"&lt;&gt;0"),"")</f>
        <v/>
      </c>
      <c r="G261" s="9" t="str">
        <f t="shared" si="1"/>
        <v/>
      </c>
    </row>
    <row r="262">
      <c r="E262" t="str">
        <f>IF(A262,SUMIFS(Historic!$E:$E,Historic!$A:$A,"&lt;" &amp; $A262,Historic!$B:$B,"=" &amp; $B262),"")</f>
        <v/>
      </c>
      <c r="F262" s="59" t="str">
        <f>IF(A262,-SUMIFS(Historic!$G:$G,Historic!$A:$A,"&lt;" &amp; $A262,Historic!$B:$B,"=" &amp; $B262,Historic!$F:$F,"&lt;&gt;0"),"")</f>
        <v/>
      </c>
      <c r="G262" s="9" t="str">
        <f t="shared" si="1"/>
        <v/>
      </c>
    </row>
    <row r="263">
      <c r="E263" t="str">
        <f>IF(A263,SUMIFS(Historic!$E:$E,Historic!$A:$A,"&lt;" &amp; $A263,Historic!$B:$B,"=" &amp; $B263),"")</f>
        <v/>
      </c>
      <c r="F263" s="59" t="str">
        <f>IF(A263,-SUMIFS(Historic!$G:$G,Historic!$A:$A,"&lt;" &amp; $A263,Historic!$B:$B,"=" &amp; $B263,Historic!$F:$F,"&lt;&gt;0"),"")</f>
        <v/>
      </c>
      <c r="G263" s="9" t="str">
        <f t="shared" si="1"/>
        <v/>
      </c>
    </row>
    <row r="264">
      <c r="E264" t="str">
        <f>IF(A264,SUMIFS(Historic!$E:$E,Historic!$A:$A,"&lt;" &amp; $A264,Historic!$B:$B,"=" &amp; $B264),"")</f>
        <v/>
      </c>
      <c r="F264" s="59" t="str">
        <f>IF(A264,-SUMIFS(Historic!$G:$G,Historic!$A:$A,"&lt;" &amp; $A264,Historic!$B:$B,"=" &amp; $B264,Historic!$F:$F,"&lt;&gt;0"),"")</f>
        <v/>
      </c>
      <c r="G264" s="9" t="str">
        <f t="shared" si="1"/>
        <v/>
      </c>
    </row>
    <row r="265">
      <c r="E265" t="str">
        <f>IF(A265,SUMIFS(Historic!$E:$E,Historic!$A:$A,"&lt;" &amp; $A265,Historic!$B:$B,"=" &amp; $B265),"")</f>
        <v/>
      </c>
      <c r="F265" s="59" t="str">
        <f>IF(A265,-SUMIFS(Historic!$G:$G,Historic!$A:$A,"&lt;" &amp; $A265,Historic!$B:$B,"=" &amp; $B265,Historic!$F:$F,"&lt;&gt;0"),"")</f>
        <v/>
      </c>
      <c r="G265" s="9" t="str">
        <f t="shared" si="1"/>
        <v/>
      </c>
    </row>
    <row r="266">
      <c r="E266" t="str">
        <f>IF(A266,SUMIFS(Historic!$E:$E,Historic!$A:$A,"&lt;" &amp; $A266,Historic!$B:$B,"=" &amp; $B266),"")</f>
        <v/>
      </c>
      <c r="F266" s="59" t="str">
        <f>IF(A266,-SUMIFS(Historic!$G:$G,Historic!$A:$A,"&lt;" &amp; $A266,Historic!$B:$B,"=" &amp; $B266,Historic!$F:$F,"&lt;&gt;0"),"")</f>
        <v/>
      </c>
      <c r="G266" s="9" t="str">
        <f t="shared" si="1"/>
        <v/>
      </c>
    </row>
    <row r="267">
      <c r="E267" t="str">
        <f>IF(A267,SUMIFS(Historic!$E:$E,Historic!$A:$A,"&lt;" &amp; $A267,Historic!$B:$B,"=" &amp; $B267),"")</f>
        <v/>
      </c>
      <c r="F267" s="59" t="str">
        <f>IF(A267,-SUMIFS(Historic!$G:$G,Historic!$A:$A,"&lt;" &amp; $A267,Historic!$B:$B,"=" &amp; $B267,Historic!$F:$F,"&lt;&gt;0"),"")</f>
        <v/>
      </c>
      <c r="G267" s="9" t="str">
        <f t="shared" si="1"/>
        <v/>
      </c>
    </row>
    <row r="268">
      <c r="E268" t="str">
        <f>IF(A268,SUMIFS(Historic!$E:$E,Historic!$A:$A,"&lt;" &amp; $A268,Historic!$B:$B,"=" &amp; $B268),"")</f>
        <v/>
      </c>
      <c r="F268" s="59" t="str">
        <f>IF(A268,-SUMIFS(Historic!$G:$G,Historic!$A:$A,"&lt;" &amp; $A268,Historic!$B:$B,"=" &amp; $B268,Historic!$F:$F,"&lt;&gt;0"),"")</f>
        <v/>
      </c>
      <c r="G268" s="9" t="str">
        <f t="shared" si="1"/>
        <v/>
      </c>
    </row>
    <row r="269">
      <c r="E269" t="str">
        <f>IF(A269,SUMIFS(Historic!$E:$E,Historic!$A:$A,"&lt;" &amp; $A269,Historic!$B:$B,"=" &amp; $B269),"")</f>
        <v/>
      </c>
      <c r="F269" s="59" t="str">
        <f>IF(A269,-SUMIFS(Historic!$G:$G,Historic!$A:$A,"&lt;" &amp; $A269,Historic!$B:$B,"=" &amp; $B269,Historic!$F:$F,"&lt;&gt;0"),"")</f>
        <v/>
      </c>
      <c r="G269" s="9" t="str">
        <f t="shared" si="1"/>
        <v/>
      </c>
    </row>
    <row r="270">
      <c r="E270" t="str">
        <f>IF(A270,SUMIFS(Historic!$E:$E,Historic!$A:$A,"&lt;" &amp; $A270,Historic!$B:$B,"=" &amp; $B270),"")</f>
        <v/>
      </c>
      <c r="F270" s="59" t="str">
        <f>IF(A270,-SUMIFS(Historic!$G:$G,Historic!$A:$A,"&lt;" &amp; $A270,Historic!$B:$B,"=" &amp; $B270,Historic!$F:$F,"&lt;&gt;0"),"")</f>
        <v/>
      </c>
      <c r="G270" s="9" t="str">
        <f t="shared" si="1"/>
        <v/>
      </c>
    </row>
    <row r="271">
      <c r="E271" t="str">
        <f>IF(A271,SUMIFS(Historic!$E:$E,Historic!$A:$A,"&lt;" &amp; $A271,Historic!$B:$B,"=" &amp; $B271),"")</f>
        <v/>
      </c>
      <c r="F271" s="59" t="str">
        <f>IF(A271,-SUMIFS(Historic!$G:$G,Historic!$A:$A,"&lt;" &amp; $A271,Historic!$B:$B,"=" &amp; $B271,Historic!$F:$F,"&lt;&gt;0"),"")</f>
        <v/>
      </c>
      <c r="G271" s="9" t="str">
        <f t="shared" si="1"/>
        <v/>
      </c>
    </row>
    <row r="272">
      <c r="E272" t="str">
        <f>IF(A272,SUMIFS(Historic!$E:$E,Historic!$A:$A,"&lt;" &amp; $A272,Historic!$B:$B,"=" &amp; $B272),"")</f>
        <v/>
      </c>
      <c r="F272" s="59" t="str">
        <f>IF(A272,-SUMIFS(Historic!$G:$G,Historic!$A:$A,"&lt;" &amp; $A272,Historic!$B:$B,"=" &amp; $B272,Historic!$F:$F,"&lt;&gt;0"),"")</f>
        <v/>
      </c>
      <c r="G272" s="9" t="str">
        <f t="shared" si="1"/>
        <v/>
      </c>
    </row>
    <row r="273">
      <c r="E273" t="str">
        <f>IF(A273,SUMIFS(Historic!$E:$E,Historic!$A:$A,"&lt;" &amp; $A273,Historic!$B:$B,"=" &amp; $B273),"")</f>
        <v/>
      </c>
      <c r="F273" s="59" t="str">
        <f>IF(A273,-SUMIFS(Historic!$G:$G,Historic!$A:$A,"&lt;" &amp; $A273,Historic!$B:$B,"=" &amp; $B273,Historic!$F:$F,"&lt;&gt;0"),"")</f>
        <v/>
      </c>
      <c r="G273" s="9" t="str">
        <f t="shared" si="1"/>
        <v/>
      </c>
    </row>
    <row r="274">
      <c r="E274" t="str">
        <f>IF(A274,SUMIFS(Historic!$E:$E,Historic!$A:$A,"&lt;" &amp; $A274,Historic!$B:$B,"=" &amp; $B274),"")</f>
        <v/>
      </c>
      <c r="F274" s="59" t="str">
        <f>IF(A274,-SUMIFS(Historic!$G:$G,Historic!$A:$A,"&lt;" &amp; $A274,Historic!$B:$B,"=" &amp; $B274,Historic!$F:$F,"&lt;&gt;0"),"")</f>
        <v/>
      </c>
      <c r="G274" s="9" t="str">
        <f t="shared" si="1"/>
        <v/>
      </c>
    </row>
    <row r="275">
      <c r="E275" t="str">
        <f>IF(A275,SUMIFS(Historic!$E:$E,Historic!$A:$A,"&lt;" &amp; $A275,Historic!$B:$B,"=" &amp; $B275),"")</f>
        <v/>
      </c>
      <c r="F275" s="59" t="str">
        <f>IF(A275,-SUMIFS(Historic!$G:$G,Historic!$A:$A,"&lt;" &amp; $A275,Historic!$B:$B,"=" &amp; $B275,Historic!$F:$F,"&lt;&gt;0"),"")</f>
        <v/>
      </c>
      <c r="G275" s="9" t="str">
        <f t="shared" si="1"/>
        <v/>
      </c>
    </row>
    <row r="276">
      <c r="E276" t="str">
        <f>IF(A276,SUMIFS(Historic!$E:$E,Historic!$A:$A,"&lt;" &amp; $A276,Historic!$B:$B,"=" &amp; $B276),"")</f>
        <v/>
      </c>
      <c r="F276" s="59" t="str">
        <f>IF(A276,-SUMIFS(Historic!$G:$G,Historic!$A:$A,"&lt;" &amp; $A276,Historic!$B:$B,"=" &amp; $B276,Historic!$F:$F,"&lt;&gt;0"),"")</f>
        <v/>
      </c>
      <c r="G276" s="9" t="str">
        <f t="shared" si="1"/>
        <v/>
      </c>
    </row>
    <row r="277">
      <c r="E277" t="str">
        <f>IF(A277,SUMIFS(Historic!$E:$E,Historic!$A:$A,"&lt;" &amp; $A277,Historic!$B:$B,"=" &amp; $B277),"")</f>
        <v/>
      </c>
      <c r="F277" s="59" t="str">
        <f>IF(A277,-SUMIFS(Historic!$G:$G,Historic!$A:$A,"&lt;" &amp; $A277,Historic!$B:$B,"=" &amp; $B277,Historic!$F:$F,"&lt;&gt;0"),"")</f>
        <v/>
      </c>
      <c r="G277" s="9" t="str">
        <f t="shared" si="1"/>
        <v/>
      </c>
    </row>
    <row r="278">
      <c r="E278" t="str">
        <f>IF(A278,SUMIFS(Historic!$E:$E,Historic!$A:$A,"&lt;" &amp; $A278,Historic!$B:$B,"=" &amp; $B278),"")</f>
        <v/>
      </c>
      <c r="F278" s="59" t="str">
        <f>IF(A278,-SUMIFS(Historic!$G:$G,Historic!$A:$A,"&lt;" &amp; $A278,Historic!$B:$B,"=" &amp; $B278,Historic!$F:$F,"&lt;&gt;0"),"")</f>
        <v/>
      </c>
      <c r="G278" s="9" t="str">
        <f t="shared" si="1"/>
        <v/>
      </c>
    </row>
    <row r="279">
      <c r="E279" t="str">
        <f>IF(A279,SUMIFS(Historic!$E:$E,Historic!$A:$A,"&lt;" &amp; $A279,Historic!$B:$B,"=" &amp; $B279),"")</f>
        <v/>
      </c>
      <c r="F279" s="59" t="str">
        <f>IF(A279,-SUMIFS(Historic!$G:$G,Historic!$A:$A,"&lt;" &amp; $A279,Historic!$B:$B,"=" &amp; $B279,Historic!$F:$F,"&lt;&gt;0"),"")</f>
        <v/>
      </c>
      <c r="G279" s="9" t="str">
        <f t="shared" si="1"/>
        <v/>
      </c>
    </row>
    <row r="280">
      <c r="E280" t="str">
        <f>IF(A280,SUMIFS(Historic!$E:$E,Historic!$A:$A,"&lt;" &amp; $A280,Historic!$B:$B,"=" &amp; $B280),"")</f>
        <v/>
      </c>
      <c r="F280" s="59" t="str">
        <f>IF(A280,-SUMIFS(Historic!$G:$G,Historic!$A:$A,"&lt;" &amp; $A280,Historic!$B:$B,"=" &amp; $B280,Historic!$F:$F,"&lt;&gt;0"),"")</f>
        <v/>
      </c>
      <c r="G280" s="9" t="str">
        <f t="shared" si="1"/>
        <v/>
      </c>
    </row>
    <row r="281">
      <c r="E281" t="str">
        <f>IF(A281,SUMIFS(Historic!$E:$E,Historic!$A:$A,"&lt;" &amp; $A281,Historic!$B:$B,"=" &amp; $B281),"")</f>
        <v/>
      </c>
      <c r="F281" s="59" t="str">
        <f>IF(A281,-SUMIFS(Historic!$G:$G,Historic!$A:$A,"&lt;" &amp; $A281,Historic!$B:$B,"=" &amp; $B281,Historic!$F:$F,"&lt;&gt;0"),"")</f>
        <v/>
      </c>
      <c r="G281" s="9" t="str">
        <f t="shared" si="1"/>
        <v/>
      </c>
    </row>
    <row r="282">
      <c r="E282" t="str">
        <f>IF(A282,SUMIFS(Historic!$E:$E,Historic!$A:$A,"&lt;" &amp; $A282,Historic!$B:$B,"=" &amp; $B282),"")</f>
        <v/>
      </c>
      <c r="F282" s="59" t="str">
        <f>IF(A282,-SUMIFS(Historic!$G:$G,Historic!$A:$A,"&lt;" &amp; $A282,Historic!$B:$B,"=" &amp; $B282,Historic!$F:$F,"&lt;&gt;0"),"")</f>
        <v/>
      </c>
      <c r="G282" s="9" t="str">
        <f t="shared" si="1"/>
        <v/>
      </c>
    </row>
    <row r="283">
      <c r="E283" t="str">
        <f>IF(A283,SUMIFS(Historic!$E:$E,Historic!$A:$A,"&lt;" &amp; $A283,Historic!$B:$B,"=" &amp; $B283),"")</f>
        <v/>
      </c>
      <c r="F283" s="59" t="str">
        <f>IF(A283,-SUMIFS(Historic!$G:$G,Historic!$A:$A,"&lt;" &amp; $A283,Historic!$B:$B,"=" &amp; $B283,Historic!$F:$F,"&lt;&gt;0"),"")</f>
        <v/>
      </c>
      <c r="G283" s="9" t="str">
        <f t="shared" si="1"/>
        <v/>
      </c>
    </row>
    <row r="284">
      <c r="E284" t="str">
        <f>IF(A284,SUMIFS(Historic!$E:$E,Historic!$A:$A,"&lt;" &amp; $A284,Historic!$B:$B,"=" &amp; $B284),"")</f>
        <v/>
      </c>
      <c r="F284" s="59" t="str">
        <f>IF(A284,-SUMIFS(Historic!$G:$G,Historic!$A:$A,"&lt;" &amp; $A284,Historic!$B:$B,"=" &amp; $B284,Historic!$F:$F,"&lt;&gt;0"),"")</f>
        <v/>
      </c>
      <c r="G284" s="9" t="str">
        <f t="shared" si="1"/>
        <v/>
      </c>
    </row>
    <row r="285">
      <c r="E285" t="str">
        <f>IF(A285,SUMIFS(Historic!$E:$E,Historic!$A:$A,"&lt;" &amp; $A285,Historic!$B:$B,"=" &amp; $B285),"")</f>
        <v/>
      </c>
      <c r="F285" s="59" t="str">
        <f>IF(A285,-SUMIFS(Historic!$G:$G,Historic!$A:$A,"&lt;" &amp; $A285,Historic!$B:$B,"=" &amp; $B285,Historic!$F:$F,"&lt;&gt;0"),"")</f>
        <v/>
      </c>
      <c r="G285" s="9" t="str">
        <f t="shared" si="1"/>
        <v/>
      </c>
    </row>
    <row r="286">
      <c r="E286" t="str">
        <f>IF(A286,SUMIFS(Historic!$E:$E,Historic!$A:$A,"&lt;" &amp; $A286,Historic!$B:$B,"=" &amp; $B286),"")</f>
        <v/>
      </c>
      <c r="F286" s="59" t="str">
        <f>IF(A286,-SUMIFS(Historic!$G:$G,Historic!$A:$A,"&lt;" &amp; $A286,Historic!$B:$B,"=" &amp; $B286,Historic!$F:$F,"&lt;&gt;0"),"")</f>
        <v/>
      </c>
      <c r="G286" s="9" t="str">
        <f t="shared" si="1"/>
        <v/>
      </c>
    </row>
    <row r="287">
      <c r="E287" t="str">
        <f>IF(A287,SUMIFS(Historic!$E:$E,Historic!$A:$A,"&lt;" &amp; $A287,Historic!$B:$B,"=" &amp; $B287),"")</f>
        <v/>
      </c>
      <c r="F287" s="59" t="str">
        <f>IF(A287,-SUMIFS(Historic!$G:$G,Historic!$A:$A,"&lt;" &amp; $A287,Historic!$B:$B,"=" &amp; $B287,Historic!$F:$F,"&lt;&gt;0"),"")</f>
        <v/>
      </c>
      <c r="G287" s="9" t="str">
        <f t="shared" si="1"/>
        <v/>
      </c>
    </row>
    <row r="288">
      <c r="E288" t="str">
        <f>IF(A288,SUMIFS(Historic!$E:$E,Historic!$A:$A,"&lt;" &amp; $A288,Historic!$B:$B,"=" &amp; $B288),"")</f>
        <v/>
      </c>
      <c r="F288" s="59" t="str">
        <f>IF(A288,-SUMIFS(Historic!$G:$G,Historic!$A:$A,"&lt;" &amp; $A288,Historic!$B:$B,"=" &amp; $B288,Historic!$F:$F,"&lt;&gt;0"),"")</f>
        <v/>
      </c>
      <c r="G288" s="9" t="str">
        <f t="shared" si="1"/>
        <v/>
      </c>
    </row>
    <row r="289">
      <c r="E289" t="str">
        <f>IF(A289,SUMIFS(Historic!$E:$E,Historic!$A:$A,"&lt;" &amp; $A289,Historic!$B:$B,"=" &amp; $B289),"")</f>
        <v/>
      </c>
      <c r="F289" s="59" t="str">
        <f>IF(A289,-SUMIFS(Historic!$G:$G,Historic!$A:$A,"&lt;" &amp; $A289,Historic!$B:$B,"=" &amp; $B289,Historic!$F:$F,"&lt;&gt;0"),"")</f>
        <v/>
      </c>
      <c r="G289" s="9" t="str">
        <f t="shared" si="1"/>
        <v/>
      </c>
    </row>
    <row r="290">
      <c r="E290" t="str">
        <f>IF(A290,SUMIFS(Historic!$E:$E,Historic!$A:$A,"&lt;" &amp; $A290,Historic!$B:$B,"=" &amp; $B290),"")</f>
        <v/>
      </c>
      <c r="F290" s="59" t="str">
        <f>IF(A290,-SUMIFS(Historic!$G:$G,Historic!$A:$A,"&lt;" &amp; $A290,Historic!$B:$B,"=" &amp; $B290,Historic!$F:$F,"&lt;&gt;0"),"")</f>
        <v/>
      </c>
      <c r="G290" s="9" t="str">
        <f t="shared" si="1"/>
        <v/>
      </c>
    </row>
    <row r="291">
      <c r="E291" t="str">
        <f>IF(A291,SUMIFS(Historic!$E:$E,Historic!$A:$A,"&lt;" &amp; $A291,Historic!$B:$B,"=" &amp; $B291),"")</f>
        <v/>
      </c>
      <c r="F291" s="59" t="str">
        <f>IF(A291,-SUMIFS(Historic!$G:$G,Historic!$A:$A,"&lt;" &amp; $A291,Historic!$B:$B,"=" &amp; $B291,Historic!$F:$F,"&lt;&gt;0"),"")</f>
        <v/>
      </c>
      <c r="G291" s="9" t="str">
        <f t="shared" si="1"/>
        <v/>
      </c>
    </row>
    <row r="292">
      <c r="E292" t="str">
        <f>IF(A292,SUMIFS(Historic!$E:$E,Historic!$A:$A,"&lt;" &amp; $A292,Historic!$B:$B,"=" &amp; $B292),"")</f>
        <v/>
      </c>
      <c r="F292" s="59" t="str">
        <f>IF(A292,-SUMIFS(Historic!$G:$G,Historic!$A:$A,"&lt;" &amp; $A292,Historic!$B:$B,"=" &amp; $B292,Historic!$F:$F,"&lt;&gt;0"),"")</f>
        <v/>
      </c>
      <c r="G292" s="9" t="str">
        <f t="shared" si="1"/>
        <v/>
      </c>
    </row>
    <row r="293">
      <c r="E293" t="str">
        <f>IF(A293,SUMIFS(Historic!$E:$E,Historic!$A:$A,"&lt;" &amp; $A293,Historic!$B:$B,"=" &amp; $B293),"")</f>
        <v/>
      </c>
      <c r="F293" s="59" t="str">
        <f>IF(A293,-SUMIFS(Historic!$G:$G,Historic!$A:$A,"&lt;" &amp; $A293,Historic!$B:$B,"=" &amp; $B293,Historic!$F:$F,"&lt;&gt;0"),"")</f>
        <v/>
      </c>
      <c r="G293" s="9" t="str">
        <f t="shared" si="1"/>
        <v/>
      </c>
    </row>
    <row r="294">
      <c r="E294" t="str">
        <f>IF(A294,SUMIFS(Historic!$E:$E,Historic!$A:$A,"&lt;" &amp; $A294,Historic!$B:$B,"=" &amp; $B294),"")</f>
        <v/>
      </c>
      <c r="F294" s="59" t="str">
        <f>IF(A294,-SUMIFS(Historic!$G:$G,Historic!$A:$A,"&lt;" &amp; $A294,Historic!$B:$B,"=" &amp; $B294,Historic!$F:$F,"&lt;&gt;0"),"")</f>
        <v/>
      </c>
      <c r="G294" s="9" t="str">
        <f t="shared" si="1"/>
        <v/>
      </c>
    </row>
    <row r="295">
      <c r="E295" t="str">
        <f>IF(A295,SUMIFS(Historic!$E:$E,Historic!$A:$A,"&lt;" &amp; $A295,Historic!$B:$B,"=" &amp; $B295),"")</f>
        <v/>
      </c>
      <c r="F295" s="59" t="str">
        <f>IF(A295,-SUMIFS(Historic!$G:$G,Historic!$A:$A,"&lt;" &amp; $A295,Historic!$B:$B,"=" &amp; $B295,Historic!$F:$F,"&lt;&gt;0"),"")</f>
        <v/>
      </c>
      <c r="G295" s="9" t="str">
        <f t="shared" si="1"/>
        <v/>
      </c>
    </row>
    <row r="296">
      <c r="E296" t="str">
        <f>IF(A296,SUMIFS(Historic!$E:$E,Historic!$A:$A,"&lt;" &amp; $A296,Historic!$B:$B,"=" &amp; $B296),"")</f>
        <v/>
      </c>
      <c r="F296" s="59" t="str">
        <f>IF(A296,-SUMIFS(Historic!$G:$G,Historic!$A:$A,"&lt;" &amp; $A296,Historic!$B:$B,"=" &amp; $B296,Historic!$F:$F,"&lt;&gt;0"),"")</f>
        <v/>
      </c>
      <c r="G296" s="9" t="str">
        <f t="shared" si="1"/>
        <v/>
      </c>
    </row>
    <row r="297">
      <c r="E297" t="str">
        <f>IF(A297,SUMIFS(Historic!$E:$E,Historic!$A:$A,"&lt;" &amp; $A297,Historic!$B:$B,"=" &amp; $B297),"")</f>
        <v/>
      </c>
      <c r="F297" s="59" t="str">
        <f>IF(A297,-SUMIFS(Historic!$G:$G,Historic!$A:$A,"&lt;" &amp; $A297,Historic!$B:$B,"=" &amp; $B297,Historic!$F:$F,"&lt;&gt;0"),"")</f>
        <v/>
      </c>
      <c r="G297" s="9" t="str">
        <f t="shared" si="1"/>
        <v/>
      </c>
    </row>
    <row r="298">
      <c r="E298" t="str">
        <f>IF(A298,SUMIFS(Historic!$E:$E,Historic!$A:$A,"&lt;" &amp; $A298,Historic!$B:$B,"=" &amp; $B298),"")</f>
        <v/>
      </c>
      <c r="F298" s="59" t="str">
        <f>IF(A298,-SUMIFS(Historic!$G:$G,Historic!$A:$A,"&lt;" &amp; $A298,Historic!$B:$B,"=" &amp; $B298,Historic!$F:$F,"&lt;&gt;0"),"")</f>
        <v/>
      </c>
      <c r="G298" s="9" t="str">
        <f t="shared" si="1"/>
        <v/>
      </c>
    </row>
    <row r="299">
      <c r="E299" t="str">
        <f>IF(A299,SUMIFS(Historic!$E:$E,Historic!$A:$A,"&lt;" &amp; $A299,Historic!$B:$B,"=" &amp; $B299),"")</f>
        <v/>
      </c>
      <c r="F299" s="59" t="str">
        <f>IF(A299,-SUMIFS(Historic!$G:$G,Historic!$A:$A,"&lt;" &amp; $A299,Historic!$B:$B,"=" &amp; $B299,Historic!$F:$F,"&lt;&gt;0"),"")</f>
        <v/>
      </c>
      <c r="G299" s="9" t="str">
        <f t="shared" si="1"/>
        <v/>
      </c>
    </row>
    <row r="300">
      <c r="E300" t="str">
        <f>IF(A300,SUMIFS(Historic!$E:$E,Historic!$A:$A,"&lt;" &amp; $A300,Historic!$B:$B,"=" &amp; $B300),"")</f>
        <v/>
      </c>
      <c r="F300" s="59" t="str">
        <f>IF(A300,-SUMIFS(Historic!$G:$G,Historic!$A:$A,"&lt;" &amp; $A300,Historic!$B:$B,"=" &amp; $B300,Historic!$F:$F,"&lt;&gt;0"),"")</f>
        <v/>
      </c>
      <c r="G300" s="9" t="str">
        <f t="shared" si="1"/>
        <v/>
      </c>
    </row>
    <row r="301">
      <c r="E301" t="str">
        <f>IF(A301,SUMIFS(Historic!$E:$E,Historic!$A:$A,"&lt;" &amp; $A301,Historic!$B:$B,"=" &amp; $B301),"")</f>
        <v/>
      </c>
      <c r="F301" s="59" t="str">
        <f>IF(A301,-SUMIFS(Historic!$G:$G,Historic!$A:$A,"&lt;" &amp; $A301,Historic!$B:$B,"=" &amp; $B301,Historic!$F:$F,"&lt;&gt;0"),"")</f>
        <v/>
      </c>
      <c r="G301" s="9" t="str">
        <f t="shared" si="1"/>
        <v/>
      </c>
    </row>
    <row r="302">
      <c r="E302" t="str">
        <f>IF(A302,SUMIFS(Historic!$E:$E,Historic!$A:$A,"&lt;" &amp; $A302,Historic!$B:$B,"=" &amp; $B302),"")</f>
        <v/>
      </c>
      <c r="F302" s="59" t="str">
        <f>IF(A302,-SUMIFS(Historic!$G:$G,Historic!$A:$A,"&lt;" &amp; $A302,Historic!$B:$B,"=" &amp; $B302,Historic!$F:$F,"&lt;&gt;0"),"")</f>
        <v/>
      </c>
      <c r="G302" s="9" t="str">
        <f t="shared" si="1"/>
        <v/>
      </c>
    </row>
    <row r="303">
      <c r="E303" t="str">
        <f>IF(A303,SUMIFS(Historic!$E:$E,Historic!$A:$A,"&lt;" &amp; $A303,Historic!$B:$B,"=" &amp; $B303),"")</f>
        <v/>
      </c>
      <c r="F303" s="59" t="str">
        <f>IF(A303,-SUMIFS(Historic!$G:$G,Historic!$A:$A,"&lt;" &amp; $A303,Historic!$B:$B,"=" &amp; $B303,Historic!$F:$F,"&lt;&gt;0"),"")</f>
        <v/>
      </c>
      <c r="G303" s="9" t="str">
        <f t="shared" si="1"/>
        <v/>
      </c>
    </row>
    <row r="304">
      <c r="E304" t="str">
        <f>IF(A304,SUMIFS(Historic!$E:$E,Historic!$A:$A,"&lt;" &amp; $A304,Historic!$B:$B,"=" &amp; $B304),"")</f>
        <v/>
      </c>
      <c r="F304" s="59" t="str">
        <f>IF(A304,-SUMIFS(Historic!$G:$G,Historic!$A:$A,"&lt;" &amp; $A304,Historic!$B:$B,"=" &amp; $B304,Historic!$F:$F,"&lt;&gt;0"),"")</f>
        <v/>
      </c>
      <c r="G304" s="9" t="str">
        <f t="shared" si="1"/>
        <v/>
      </c>
    </row>
    <row r="305">
      <c r="E305" t="str">
        <f>IF(A305,SUMIFS(Historic!$E:$E,Historic!$A:$A,"&lt;" &amp; $A305,Historic!$B:$B,"=" &amp; $B305),"")</f>
        <v/>
      </c>
      <c r="F305" s="59" t="str">
        <f>IF(A305,-SUMIFS(Historic!$G:$G,Historic!$A:$A,"&lt;" &amp; $A305,Historic!$B:$B,"=" &amp; $B305,Historic!$F:$F,"&lt;&gt;0"),"")</f>
        <v/>
      </c>
      <c r="G305" s="9" t="str">
        <f t="shared" si="1"/>
        <v/>
      </c>
    </row>
    <row r="306">
      <c r="E306" t="str">
        <f>IF(A306,SUMIFS(Historic!$E:$E,Historic!$A:$A,"&lt;" &amp; $A306,Historic!$B:$B,"=" &amp; $B306),"")</f>
        <v/>
      </c>
      <c r="F306" s="59" t="str">
        <f>IF(A306,-SUMIFS(Historic!$G:$G,Historic!$A:$A,"&lt;" &amp; $A306,Historic!$B:$B,"=" &amp; $B306,Historic!$F:$F,"&lt;&gt;0"),"")</f>
        <v/>
      </c>
      <c r="G306" s="9" t="str">
        <f t="shared" si="1"/>
        <v/>
      </c>
    </row>
    <row r="307">
      <c r="E307" t="str">
        <f>IF(A307,SUMIFS(Historic!$E:$E,Historic!$A:$A,"&lt;" &amp; $A307,Historic!$B:$B,"=" &amp; $B307),"")</f>
        <v/>
      </c>
      <c r="F307" s="59" t="str">
        <f>IF(A307,-SUMIFS(Historic!$G:$G,Historic!$A:$A,"&lt;" &amp; $A307,Historic!$B:$B,"=" &amp; $B307,Historic!$F:$F,"&lt;&gt;0"),"")</f>
        <v/>
      </c>
      <c r="G307" s="9" t="str">
        <f t="shared" si="1"/>
        <v/>
      </c>
    </row>
    <row r="308">
      <c r="E308" t="str">
        <f>IF(A308,SUMIFS(Historic!$E:$E,Historic!$A:$A,"&lt;" &amp; $A308,Historic!$B:$B,"=" &amp; $B308),"")</f>
        <v/>
      </c>
      <c r="F308" s="59" t="str">
        <f>IF(A308,-SUMIFS(Historic!$G:$G,Historic!$A:$A,"&lt;" &amp; $A308,Historic!$B:$B,"=" &amp; $B308,Historic!$F:$F,"&lt;&gt;0"),"")</f>
        <v/>
      </c>
      <c r="G308" s="9" t="str">
        <f t="shared" si="1"/>
        <v/>
      </c>
    </row>
    <row r="309">
      <c r="E309" t="str">
        <f>IF(A309,SUMIFS(Historic!$E:$E,Historic!$A:$A,"&lt;" &amp; $A309,Historic!$B:$B,"=" &amp; $B309),"")</f>
        <v/>
      </c>
      <c r="F309" s="59" t="str">
        <f>IF(A309,-SUMIFS(Historic!$G:$G,Historic!$A:$A,"&lt;" &amp; $A309,Historic!$B:$B,"=" &amp; $B309,Historic!$F:$F,"&lt;&gt;0"),"")</f>
        <v/>
      </c>
      <c r="G309" s="9" t="str">
        <f t="shared" si="1"/>
        <v/>
      </c>
    </row>
    <row r="310">
      <c r="E310" t="str">
        <f>IF(A310,SUMIFS(Historic!$E:$E,Historic!$A:$A,"&lt;" &amp; $A310,Historic!$B:$B,"=" &amp; $B310),"")</f>
        <v/>
      </c>
      <c r="F310" s="59" t="str">
        <f>IF(A310,-SUMIFS(Historic!$G:$G,Historic!$A:$A,"&lt;" &amp; $A310,Historic!$B:$B,"=" &amp; $B310,Historic!$F:$F,"&lt;&gt;0"),"")</f>
        <v/>
      </c>
      <c r="G310" s="9" t="str">
        <f t="shared" si="1"/>
        <v/>
      </c>
    </row>
    <row r="311">
      <c r="E311" t="str">
        <f>IF(A311,SUMIFS(Historic!$E:$E,Historic!$A:$A,"&lt;" &amp; $A311,Historic!$B:$B,"=" &amp; $B311),"")</f>
        <v/>
      </c>
      <c r="F311" s="59" t="str">
        <f>IF(A311,-SUMIFS(Historic!$G:$G,Historic!$A:$A,"&lt;" &amp; $A311,Historic!$B:$B,"=" &amp; $B311,Historic!$F:$F,"&lt;&gt;0"),"")</f>
        <v/>
      </c>
      <c r="G311" s="9" t="str">
        <f t="shared" si="1"/>
        <v/>
      </c>
    </row>
    <row r="312">
      <c r="E312" t="str">
        <f>IF(A312,SUMIFS(Historic!$E:$E,Historic!$A:$A,"&lt;" &amp; $A312,Historic!$B:$B,"=" &amp; $B312),"")</f>
        <v/>
      </c>
      <c r="F312" s="59" t="str">
        <f>IF(A312,-SUMIFS(Historic!$G:$G,Historic!$A:$A,"&lt;" &amp; $A312,Historic!$B:$B,"=" &amp; $B312,Historic!$F:$F,"&lt;&gt;0"),"")</f>
        <v/>
      </c>
      <c r="G312" s="9" t="str">
        <f t="shared" si="1"/>
        <v/>
      </c>
    </row>
    <row r="313">
      <c r="E313" t="str">
        <f>IF(A313,SUMIFS(Historic!$E:$E,Historic!$A:$A,"&lt;" &amp; $A313,Historic!$B:$B,"=" &amp; $B313),"")</f>
        <v/>
      </c>
      <c r="F313" s="59" t="str">
        <f>IF(A313,-SUMIFS(Historic!$G:$G,Historic!$A:$A,"&lt;" &amp; $A313,Historic!$B:$B,"=" &amp; $B313,Historic!$F:$F,"&lt;&gt;0"),"")</f>
        <v/>
      </c>
      <c r="G313" s="9" t="str">
        <f t="shared" si="1"/>
        <v/>
      </c>
    </row>
    <row r="314">
      <c r="E314" t="str">
        <f>IF(A314,SUMIFS(Historic!$E:$E,Historic!$A:$A,"&lt;" &amp; $A314,Historic!$B:$B,"=" &amp; $B314),"")</f>
        <v/>
      </c>
      <c r="F314" s="59" t="str">
        <f>IF(A314,-SUMIFS(Historic!$G:$G,Historic!$A:$A,"&lt;" &amp; $A314,Historic!$B:$B,"=" &amp; $B314,Historic!$F:$F,"&lt;&gt;0"),"")</f>
        <v/>
      </c>
      <c r="G314" s="9" t="str">
        <f t="shared" si="1"/>
        <v/>
      </c>
    </row>
    <row r="315">
      <c r="E315" t="str">
        <f>IF(A315,SUMIFS(Historic!$E:$E,Historic!$A:$A,"&lt;" &amp; $A315,Historic!$B:$B,"=" &amp; $B315),"")</f>
        <v/>
      </c>
      <c r="F315" s="59" t="str">
        <f>IF(A315,-SUMIFS(Historic!$G:$G,Historic!$A:$A,"&lt;" &amp; $A315,Historic!$B:$B,"=" &amp; $B315,Historic!$F:$F,"&lt;&gt;0"),"")</f>
        <v/>
      </c>
      <c r="G315" s="9" t="str">
        <f t="shared" si="1"/>
        <v/>
      </c>
    </row>
    <row r="316">
      <c r="E316" t="str">
        <f>IF(A316,SUMIFS(Historic!$E:$E,Historic!$A:$A,"&lt;" &amp; $A316,Historic!$B:$B,"=" &amp; $B316),"")</f>
        <v/>
      </c>
      <c r="F316" s="59" t="str">
        <f>IF(A316,-SUMIFS(Historic!$G:$G,Historic!$A:$A,"&lt;" &amp; $A316,Historic!$B:$B,"=" &amp; $B316,Historic!$F:$F,"&lt;&gt;0"),"")</f>
        <v/>
      </c>
      <c r="G316" s="9" t="str">
        <f t="shared" si="1"/>
        <v/>
      </c>
    </row>
    <row r="317">
      <c r="E317" t="str">
        <f>IF(A317,SUMIFS(Historic!$E:$E,Historic!$A:$A,"&lt;" &amp; $A317,Historic!$B:$B,"=" &amp; $B317),"")</f>
        <v/>
      </c>
      <c r="F317" s="59" t="str">
        <f>IF(A317,-SUMIFS(Historic!$G:$G,Historic!$A:$A,"&lt;" &amp; $A317,Historic!$B:$B,"=" &amp; $B317,Historic!$F:$F,"&lt;&gt;0"),"")</f>
        <v/>
      </c>
      <c r="G317" s="9" t="str">
        <f t="shared" si="1"/>
        <v/>
      </c>
    </row>
    <row r="318">
      <c r="E318" t="str">
        <f>IF(A318,SUMIFS(Historic!$E:$E,Historic!$A:$A,"&lt;" &amp; $A318,Historic!$B:$B,"=" &amp; $B318),"")</f>
        <v/>
      </c>
      <c r="F318" s="59" t="str">
        <f>IF(A318,-SUMIFS(Historic!$G:$G,Historic!$A:$A,"&lt;" &amp; $A318,Historic!$B:$B,"=" &amp; $B318,Historic!$F:$F,"&lt;&gt;0"),"")</f>
        <v/>
      </c>
      <c r="G318" s="9" t="str">
        <f t="shared" si="1"/>
        <v/>
      </c>
    </row>
    <row r="319">
      <c r="E319" t="str">
        <f>IF(A319,SUMIFS(Historic!$E:$E,Historic!$A:$A,"&lt;" &amp; $A319,Historic!$B:$B,"=" &amp; $B319),"")</f>
        <v/>
      </c>
      <c r="F319" s="59" t="str">
        <f>IF(A319,-SUMIFS(Historic!$G:$G,Historic!$A:$A,"&lt;" &amp; $A319,Historic!$B:$B,"=" &amp; $B319,Historic!$F:$F,"&lt;&gt;0"),"")</f>
        <v/>
      </c>
      <c r="G319" s="9" t="str">
        <f t="shared" si="1"/>
        <v/>
      </c>
    </row>
    <row r="320">
      <c r="E320" t="str">
        <f>IF(A320,SUMIFS(Historic!$E:$E,Historic!$A:$A,"&lt;" &amp; $A320,Historic!$B:$B,"=" &amp; $B320),"")</f>
        <v/>
      </c>
      <c r="F320" s="59" t="str">
        <f>IF(A320,-SUMIFS(Historic!$G:$G,Historic!$A:$A,"&lt;" &amp; $A320,Historic!$B:$B,"=" &amp; $B320,Historic!$F:$F,"&lt;&gt;0"),"")</f>
        <v/>
      </c>
      <c r="G320" s="9" t="str">
        <f t="shared" si="1"/>
        <v/>
      </c>
    </row>
    <row r="321">
      <c r="E321" t="str">
        <f>IF(A321,SUMIFS(Historic!$E:$E,Historic!$A:$A,"&lt;" &amp; $A321,Historic!$B:$B,"=" &amp; $B321),"")</f>
        <v/>
      </c>
      <c r="F321" s="59" t="str">
        <f>IF(A321,-SUMIFS(Historic!$G:$G,Historic!$A:$A,"&lt;" &amp; $A321,Historic!$B:$B,"=" &amp; $B321,Historic!$F:$F,"&lt;&gt;0"),"")</f>
        <v/>
      </c>
      <c r="G321" s="9" t="str">
        <f t="shared" si="1"/>
        <v/>
      </c>
    </row>
    <row r="322">
      <c r="E322" t="str">
        <f>IF(A322,SUMIFS(Historic!$E:$E,Historic!$A:$A,"&lt;" &amp; $A322,Historic!$B:$B,"=" &amp; $B322),"")</f>
        <v/>
      </c>
      <c r="F322" s="59" t="str">
        <f>IF(A322,-SUMIFS(Historic!$G:$G,Historic!$A:$A,"&lt;" &amp; $A322,Historic!$B:$B,"=" &amp; $B322,Historic!$F:$F,"&lt;&gt;0"),"")</f>
        <v/>
      </c>
      <c r="G322" s="9" t="str">
        <f t="shared" si="1"/>
        <v/>
      </c>
    </row>
    <row r="323">
      <c r="E323" t="str">
        <f>IF(A323,SUMIFS(Historic!$E:$E,Historic!$A:$A,"&lt;" &amp; $A323,Historic!$B:$B,"=" &amp; $B323),"")</f>
        <v/>
      </c>
      <c r="F323" s="59" t="str">
        <f>IF(A323,-SUMIFS(Historic!$G:$G,Historic!$A:$A,"&lt;" &amp; $A323,Historic!$B:$B,"=" &amp; $B323,Historic!$F:$F,"&lt;&gt;0"),"")</f>
        <v/>
      </c>
      <c r="G323" s="9" t="str">
        <f t="shared" si="1"/>
        <v/>
      </c>
    </row>
    <row r="324">
      <c r="E324" t="str">
        <f>IF(A324,SUMIFS(Historic!$E:$E,Historic!$A:$A,"&lt;" &amp; $A324,Historic!$B:$B,"=" &amp; $B324),"")</f>
        <v/>
      </c>
      <c r="F324" s="59" t="str">
        <f>IF(A324,-SUMIFS(Historic!$G:$G,Historic!$A:$A,"&lt;" &amp; $A324,Historic!$B:$B,"=" &amp; $B324,Historic!$F:$F,"&lt;&gt;0"),"")</f>
        <v/>
      </c>
      <c r="G324" s="9" t="str">
        <f t="shared" si="1"/>
        <v/>
      </c>
    </row>
    <row r="325">
      <c r="E325" t="str">
        <f>IF(A325,SUMIFS(Historic!$E:$E,Historic!$A:$A,"&lt;" &amp; $A325,Historic!$B:$B,"=" &amp; $B325),"")</f>
        <v/>
      </c>
      <c r="F325" s="59" t="str">
        <f>IF(A325,-SUMIFS(Historic!$G:$G,Historic!$A:$A,"&lt;" &amp; $A325,Historic!$B:$B,"=" &amp; $B325,Historic!$F:$F,"&lt;&gt;0"),"")</f>
        <v/>
      </c>
      <c r="G325" s="9" t="str">
        <f t="shared" si="1"/>
        <v/>
      </c>
    </row>
    <row r="326">
      <c r="E326" t="str">
        <f>IF(A326,SUMIFS(Historic!$E:$E,Historic!$A:$A,"&lt;" &amp; $A326,Historic!$B:$B,"=" &amp; $B326),"")</f>
        <v/>
      </c>
      <c r="F326" s="59" t="str">
        <f>IF(A326,-SUMIFS(Historic!$G:$G,Historic!$A:$A,"&lt;" &amp; $A326,Historic!$B:$B,"=" &amp; $B326,Historic!$F:$F,"&lt;&gt;0"),"")</f>
        <v/>
      </c>
      <c r="G326" s="9" t="str">
        <f t="shared" si="1"/>
        <v/>
      </c>
    </row>
    <row r="327">
      <c r="E327" t="str">
        <f>IF(A327,SUMIFS(Historic!$E:$E,Historic!$A:$A,"&lt;" &amp; $A327,Historic!$B:$B,"=" &amp; $B327),"")</f>
        <v/>
      </c>
      <c r="F327" s="59" t="str">
        <f>IF(A327,-SUMIFS(Historic!$G:$G,Historic!$A:$A,"&lt;" &amp; $A327,Historic!$B:$B,"=" &amp; $B327,Historic!$F:$F,"&lt;&gt;0"),"")</f>
        <v/>
      </c>
      <c r="G327" s="9" t="str">
        <f t="shared" si="1"/>
        <v/>
      </c>
    </row>
    <row r="328">
      <c r="E328" t="str">
        <f>IF(A328,SUMIFS(Historic!$E:$E,Historic!$A:$A,"&lt;" &amp; $A328,Historic!$B:$B,"=" &amp; $B328),"")</f>
        <v/>
      </c>
      <c r="F328" s="59" t="str">
        <f>IF(A328,-SUMIFS(Historic!$G:$G,Historic!$A:$A,"&lt;" &amp; $A328,Historic!$B:$B,"=" &amp; $B328,Historic!$F:$F,"&lt;&gt;0"),"")</f>
        <v/>
      </c>
      <c r="G328" s="9" t="str">
        <f t="shared" si="1"/>
        <v/>
      </c>
    </row>
    <row r="329">
      <c r="E329" t="str">
        <f>IF(A329,SUMIFS(Historic!$E:$E,Historic!$A:$A,"&lt;" &amp; $A329,Historic!$B:$B,"=" &amp; $B329),"")</f>
        <v/>
      </c>
      <c r="F329" s="59" t="str">
        <f>IF(A329,-SUMIFS(Historic!$G:$G,Historic!$A:$A,"&lt;" &amp; $A329,Historic!$B:$B,"=" &amp; $B329,Historic!$F:$F,"&lt;&gt;0"),"")</f>
        <v/>
      </c>
      <c r="G329" s="9" t="str">
        <f t="shared" si="1"/>
        <v/>
      </c>
    </row>
    <row r="330">
      <c r="E330" t="str">
        <f>IF(A330,SUMIFS(Historic!$E:$E,Historic!$A:$A,"&lt;" &amp; $A330,Historic!$B:$B,"=" &amp; $B330),"")</f>
        <v/>
      </c>
      <c r="F330" s="59" t="str">
        <f>IF(A330,-SUMIFS(Historic!$G:$G,Historic!$A:$A,"&lt;" &amp; $A330,Historic!$B:$B,"=" &amp; $B330,Historic!$F:$F,"&lt;&gt;0"),"")</f>
        <v/>
      </c>
      <c r="G330" s="9" t="str">
        <f t="shared" si="1"/>
        <v/>
      </c>
    </row>
    <row r="331">
      <c r="E331" t="str">
        <f>IF(A331,SUMIFS(Historic!$E:$E,Historic!$A:$A,"&lt;" &amp; $A331,Historic!$B:$B,"=" &amp; $B331),"")</f>
        <v/>
      </c>
      <c r="F331" s="59" t="str">
        <f>IF(A331,-SUMIFS(Historic!$G:$G,Historic!$A:$A,"&lt;" &amp; $A331,Historic!$B:$B,"=" &amp; $B331,Historic!$F:$F,"&lt;&gt;0"),"")</f>
        <v/>
      </c>
      <c r="G331" s="9" t="str">
        <f t="shared" si="1"/>
        <v/>
      </c>
    </row>
    <row r="332">
      <c r="E332" t="str">
        <f>IF(A332,SUMIFS(Historic!$E:$E,Historic!$A:$A,"&lt;" &amp; $A332,Historic!$B:$B,"=" &amp; $B332),"")</f>
        <v/>
      </c>
      <c r="F332" s="59" t="str">
        <f>IF(A332,-SUMIFS(Historic!$G:$G,Historic!$A:$A,"&lt;" &amp; $A332,Historic!$B:$B,"=" &amp; $B332,Historic!$F:$F,"&lt;&gt;0"),"")</f>
        <v/>
      </c>
      <c r="G332" s="9" t="str">
        <f t="shared" si="1"/>
        <v/>
      </c>
    </row>
    <row r="333">
      <c r="E333" t="str">
        <f>IF(A333,SUMIFS(Historic!$E:$E,Historic!$A:$A,"&lt;" &amp; $A333,Historic!$B:$B,"=" &amp; $B333),"")</f>
        <v/>
      </c>
      <c r="F333" s="59" t="str">
        <f>IF(A333,-SUMIFS(Historic!$G:$G,Historic!$A:$A,"&lt;" &amp; $A333,Historic!$B:$B,"=" &amp; $B333,Historic!$F:$F,"&lt;&gt;0"),"")</f>
        <v/>
      </c>
      <c r="G333" s="9" t="str">
        <f t="shared" si="1"/>
        <v/>
      </c>
    </row>
    <row r="334">
      <c r="E334" t="str">
        <f>IF(A334,SUMIFS(Historic!$E:$E,Historic!$A:$A,"&lt;" &amp; $A334,Historic!$B:$B,"=" &amp; $B334),"")</f>
        <v/>
      </c>
      <c r="F334" s="59" t="str">
        <f>IF(A334,-SUMIFS(Historic!$G:$G,Historic!$A:$A,"&lt;" &amp; $A334,Historic!$B:$B,"=" &amp; $B334,Historic!$F:$F,"&lt;&gt;0"),"")</f>
        <v/>
      </c>
      <c r="G334" s="9" t="str">
        <f t="shared" si="1"/>
        <v/>
      </c>
    </row>
    <row r="335">
      <c r="E335" t="str">
        <f>IF(A335,SUMIFS(Historic!$E:$E,Historic!$A:$A,"&lt;" &amp; $A335,Historic!$B:$B,"=" &amp; $B335),"")</f>
        <v/>
      </c>
      <c r="F335" s="59" t="str">
        <f>IF(A335,-SUMIFS(Historic!$G:$G,Historic!$A:$A,"&lt;" &amp; $A335,Historic!$B:$B,"=" &amp; $B335,Historic!$F:$F,"&lt;&gt;0"),"")</f>
        <v/>
      </c>
      <c r="G335" s="9" t="str">
        <f t="shared" si="1"/>
        <v/>
      </c>
    </row>
    <row r="336">
      <c r="E336" t="str">
        <f>IF(A336,SUMIFS(Historic!$E:$E,Historic!$A:$A,"&lt;" &amp; $A336,Historic!$B:$B,"=" &amp; $B336),"")</f>
        <v/>
      </c>
      <c r="F336" s="59" t="str">
        <f>IF(A336,-SUMIFS(Historic!$G:$G,Historic!$A:$A,"&lt;" &amp; $A336,Historic!$B:$B,"=" &amp; $B336,Historic!$F:$F,"&lt;&gt;0"),"")</f>
        <v/>
      </c>
      <c r="G336" s="9" t="str">
        <f t="shared" si="1"/>
        <v/>
      </c>
    </row>
    <row r="337">
      <c r="E337" t="str">
        <f>IF(A337,SUMIFS(Historic!$E:$E,Historic!$A:$A,"&lt;" &amp; $A337,Historic!$B:$B,"=" &amp; $B337),"")</f>
        <v/>
      </c>
      <c r="F337" s="59" t="str">
        <f>IF(A337,-SUMIFS(Historic!$G:$G,Historic!$A:$A,"&lt;" &amp; $A337,Historic!$B:$B,"=" &amp; $B337,Historic!$F:$F,"&lt;&gt;0"),"")</f>
        <v/>
      </c>
      <c r="G337" s="9" t="str">
        <f t="shared" si="1"/>
        <v/>
      </c>
    </row>
    <row r="338">
      <c r="E338" t="str">
        <f>IF(A338,SUMIFS(Historic!$E:$E,Historic!$A:$A,"&lt;" &amp; $A338,Historic!$B:$B,"=" &amp; $B338),"")</f>
        <v/>
      </c>
      <c r="F338" s="59" t="str">
        <f>IF(A338,-SUMIFS(Historic!$G:$G,Historic!$A:$A,"&lt;" &amp; $A338,Historic!$B:$B,"=" &amp; $B338,Historic!$F:$F,"&lt;&gt;0"),"")</f>
        <v/>
      </c>
      <c r="G338" s="9" t="str">
        <f t="shared" si="1"/>
        <v/>
      </c>
    </row>
    <row r="339">
      <c r="E339" t="str">
        <f>IF(A339,SUMIFS(Historic!$E:$E,Historic!$A:$A,"&lt;" &amp; $A339,Historic!$B:$B,"=" &amp; $B339),"")</f>
        <v/>
      </c>
      <c r="F339" s="59" t="str">
        <f>IF(A339,-SUMIFS(Historic!$G:$G,Historic!$A:$A,"&lt;" &amp; $A339,Historic!$B:$B,"=" &amp; $B339,Historic!$F:$F,"&lt;&gt;0"),"")</f>
        <v/>
      </c>
      <c r="G339" s="9" t="str">
        <f t="shared" si="1"/>
        <v/>
      </c>
    </row>
    <row r="340">
      <c r="E340" t="str">
        <f>IF(A340,SUMIFS(Historic!$E:$E,Historic!$A:$A,"&lt;" &amp; $A340,Historic!$B:$B,"=" &amp; $B340),"")</f>
        <v/>
      </c>
      <c r="F340" s="59" t="str">
        <f>IF(A340,-SUMIFS(Historic!$G:$G,Historic!$A:$A,"&lt;" &amp; $A340,Historic!$B:$B,"=" &amp; $B340,Historic!$F:$F,"&lt;&gt;0"),"")</f>
        <v/>
      </c>
      <c r="G340" s="9" t="str">
        <f t="shared" si="1"/>
        <v/>
      </c>
    </row>
    <row r="341">
      <c r="E341" t="str">
        <f>IF(A341,SUMIFS(Historic!$E:$E,Historic!$A:$A,"&lt;" &amp; $A341,Historic!$B:$B,"=" &amp; $B341),"")</f>
        <v/>
      </c>
      <c r="F341" s="59" t="str">
        <f>IF(A341,-SUMIFS(Historic!$G:$G,Historic!$A:$A,"&lt;" &amp; $A341,Historic!$B:$B,"=" &amp; $B341,Historic!$F:$F,"&lt;&gt;0"),"")</f>
        <v/>
      </c>
      <c r="G341" s="9" t="str">
        <f t="shared" si="1"/>
        <v/>
      </c>
    </row>
    <row r="342">
      <c r="E342" t="str">
        <f>IF(A342,SUMIFS(Historic!$E:$E,Historic!$A:$A,"&lt;" &amp; $A342,Historic!$B:$B,"=" &amp; $B342),"")</f>
        <v/>
      </c>
      <c r="F342" s="59" t="str">
        <f>IF(A342,-SUMIFS(Historic!$G:$G,Historic!$A:$A,"&lt;" &amp; $A342,Historic!$B:$B,"=" &amp; $B342,Historic!$F:$F,"&lt;&gt;0"),"")</f>
        <v/>
      </c>
      <c r="G342" s="9" t="str">
        <f t="shared" si="1"/>
        <v/>
      </c>
    </row>
    <row r="343">
      <c r="E343" t="str">
        <f>IF(A343,SUMIFS(Historic!$E:$E,Historic!$A:$A,"&lt;" &amp; $A343,Historic!$B:$B,"=" &amp; $B343),"")</f>
        <v/>
      </c>
      <c r="F343" s="59" t="str">
        <f>IF(A343,-SUMIFS(Historic!$G:$G,Historic!$A:$A,"&lt;" &amp; $A343,Historic!$B:$B,"=" &amp; $B343,Historic!$F:$F,"&lt;&gt;0"),"")</f>
        <v/>
      </c>
      <c r="G343" s="9" t="str">
        <f t="shared" si="1"/>
        <v/>
      </c>
    </row>
    <row r="344">
      <c r="E344" t="str">
        <f>IF(A344,SUMIFS(Historic!$E:$E,Historic!$A:$A,"&lt;" &amp; $A344,Historic!$B:$B,"=" &amp; $B344),"")</f>
        <v/>
      </c>
      <c r="F344" s="59" t="str">
        <f>IF(A344,-SUMIFS(Historic!$G:$G,Historic!$A:$A,"&lt;" &amp; $A344,Historic!$B:$B,"=" &amp; $B344,Historic!$F:$F,"&lt;&gt;0"),"")</f>
        <v/>
      </c>
      <c r="G344" s="9" t="str">
        <f t="shared" si="1"/>
        <v/>
      </c>
    </row>
    <row r="345">
      <c r="E345" t="str">
        <f>IF(A345,SUMIFS(Historic!$E:$E,Historic!$A:$A,"&lt;" &amp; $A345,Historic!$B:$B,"=" &amp; $B345),"")</f>
        <v/>
      </c>
      <c r="F345" s="59" t="str">
        <f>IF(A345,-SUMIFS(Historic!$G:$G,Historic!$A:$A,"&lt;" &amp; $A345,Historic!$B:$B,"=" &amp; $B345,Historic!$F:$F,"&lt;&gt;0"),"")</f>
        <v/>
      </c>
      <c r="G345" s="9" t="str">
        <f t="shared" si="1"/>
        <v/>
      </c>
    </row>
    <row r="346">
      <c r="E346" t="str">
        <f>IF(A346,SUMIFS(Historic!$E:$E,Historic!$A:$A,"&lt;" &amp; $A346,Historic!$B:$B,"=" &amp; $B346),"")</f>
        <v/>
      </c>
      <c r="F346" s="59" t="str">
        <f>IF(A346,-SUMIFS(Historic!$G:$G,Historic!$A:$A,"&lt;" &amp; $A346,Historic!$B:$B,"=" &amp; $B346,Historic!$F:$F,"&lt;&gt;0"),"")</f>
        <v/>
      </c>
      <c r="G346" s="9" t="str">
        <f t="shared" si="1"/>
        <v/>
      </c>
    </row>
    <row r="347">
      <c r="E347" t="str">
        <f>IF(A347,SUMIFS(Historic!$E:$E,Historic!$A:$A,"&lt;" &amp; $A347,Historic!$B:$B,"=" &amp; $B347),"")</f>
        <v/>
      </c>
      <c r="F347" s="59" t="str">
        <f>IF(A347,-SUMIFS(Historic!$G:$G,Historic!$A:$A,"&lt;" &amp; $A347,Historic!$B:$B,"=" &amp; $B347,Historic!$F:$F,"&lt;&gt;0"),"")</f>
        <v/>
      </c>
      <c r="G347" s="9" t="str">
        <f t="shared" si="1"/>
        <v/>
      </c>
    </row>
    <row r="348">
      <c r="E348" t="str">
        <f>IF(A348,SUMIFS(Historic!$E:$E,Historic!$A:$A,"&lt;" &amp; $A348,Historic!$B:$B,"=" &amp; $B348),"")</f>
        <v/>
      </c>
      <c r="F348" s="59" t="str">
        <f>IF(A348,-SUMIFS(Historic!$G:$G,Historic!$A:$A,"&lt;" &amp; $A348,Historic!$B:$B,"=" &amp; $B348,Historic!$F:$F,"&lt;&gt;0"),"")</f>
        <v/>
      </c>
      <c r="G348" s="9" t="str">
        <f t="shared" si="1"/>
        <v/>
      </c>
    </row>
    <row r="349">
      <c r="E349" t="str">
        <f>IF(A349,SUMIFS(Historic!$E:$E,Historic!$A:$A,"&lt;" &amp; $A349,Historic!$B:$B,"=" &amp; $B349),"")</f>
        <v/>
      </c>
      <c r="F349" s="59" t="str">
        <f>IF(A349,-SUMIFS(Historic!$G:$G,Historic!$A:$A,"&lt;" &amp; $A349,Historic!$B:$B,"=" &amp; $B349,Historic!$F:$F,"&lt;&gt;0"),"")</f>
        <v/>
      </c>
      <c r="G349" s="9" t="str">
        <f t="shared" si="1"/>
        <v/>
      </c>
    </row>
    <row r="350">
      <c r="E350" t="str">
        <f>IF(A350,SUMIFS(Historic!$E:$E,Historic!$A:$A,"&lt;" &amp; $A350,Historic!$B:$B,"=" &amp; $B350),"")</f>
        <v/>
      </c>
      <c r="F350" s="59" t="str">
        <f>IF(A350,-SUMIFS(Historic!$G:$G,Historic!$A:$A,"&lt;" &amp; $A350,Historic!$B:$B,"=" &amp; $B350,Historic!$F:$F,"&lt;&gt;0"),"")</f>
        <v/>
      </c>
      <c r="G350" s="9" t="str">
        <f t="shared" si="1"/>
        <v/>
      </c>
    </row>
    <row r="351">
      <c r="E351" t="str">
        <f>IF(A351,SUMIFS(Historic!$E:$E,Historic!$A:$A,"&lt;" &amp; $A351,Historic!$B:$B,"=" &amp; $B351),"")</f>
        <v/>
      </c>
      <c r="F351" s="59" t="str">
        <f>IF(A351,-SUMIFS(Historic!$G:$G,Historic!$A:$A,"&lt;" &amp; $A351,Historic!$B:$B,"=" &amp; $B351,Historic!$F:$F,"&lt;&gt;0"),"")</f>
        <v/>
      </c>
      <c r="G351" s="9" t="str">
        <f t="shared" si="1"/>
        <v/>
      </c>
    </row>
    <row r="352">
      <c r="E352" t="str">
        <f>IF(A352,SUMIFS(Historic!$E:$E,Historic!$A:$A,"&lt;" &amp; $A352,Historic!$B:$B,"=" &amp; $B352),"")</f>
        <v/>
      </c>
      <c r="F352" s="59" t="str">
        <f>IF(A352,-SUMIFS(Historic!$G:$G,Historic!$A:$A,"&lt;" &amp; $A352,Historic!$B:$B,"=" &amp; $B352,Historic!$F:$F,"&lt;&gt;0"),"")</f>
        <v/>
      </c>
      <c r="G352" s="9" t="str">
        <f t="shared" si="1"/>
        <v/>
      </c>
    </row>
    <row r="353">
      <c r="E353" t="str">
        <f>IF(A353,SUMIFS(Historic!$E:$E,Historic!$A:$A,"&lt;" &amp; $A353,Historic!$B:$B,"=" &amp; $B353),"")</f>
        <v/>
      </c>
      <c r="F353" s="59" t="str">
        <f>IF(A353,-SUMIFS(Historic!$G:$G,Historic!$A:$A,"&lt;" &amp; $A353,Historic!$B:$B,"=" &amp; $B353,Historic!$F:$F,"&lt;&gt;0"),"")</f>
        <v/>
      </c>
      <c r="G353" s="9" t="str">
        <f t="shared" si="1"/>
        <v/>
      </c>
    </row>
    <row r="354">
      <c r="E354" t="str">
        <f>IF(A354,SUMIFS(Historic!$E:$E,Historic!$A:$A,"&lt;" &amp; $A354,Historic!$B:$B,"=" &amp; $B354),"")</f>
        <v/>
      </c>
      <c r="F354" s="59" t="str">
        <f>IF(A354,-SUMIFS(Historic!$G:$G,Historic!$A:$A,"&lt;" &amp; $A354,Historic!$B:$B,"=" &amp; $B354,Historic!$F:$F,"&lt;&gt;0"),"")</f>
        <v/>
      </c>
      <c r="G354" s="9" t="str">
        <f t="shared" si="1"/>
        <v/>
      </c>
    </row>
    <row r="355">
      <c r="E355" t="str">
        <f>IF(A355,SUMIFS(Historic!$E:$E,Historic!$A:$A,"&lt;" &amp; $A355,Historic!$B:$B,"=" &amp; $B355),"")</f>
        <v/>
      </c>
      <c r="F355" s="59" t="str">
        <f>IF(A355,-SUMIFS(Historic!$G:$G,Historic!$A:$A,"&lt;" &amp; $A355,Historic!$B:$B,"=" &amp; $B355,Historic!$F:$F,"&lt;&gt;0"),"")</f>
        <v/>
      </c>
      <c r="G355" s="9" t="str">
        <f t="shared" si="1"/>
        <v/>
      </c>
    </row>
    <row r="356">
      <c r="E356" t="str">
        <f>IF(A356,SUMIFS(Historic!$E:$E,Historic!$A:$A,"&lt;" &amp; $A356,Historic!$B:$B,"=" &amp; $B356),"")</f>
        <v/>
      </c>
      <c r="F356" s="59" t="str">
        <f>IF(A356,-SUMIFS(Historic!$G:$G,Historic!$A:$A,"&lt;" &amp; $A356,Historic!$B:$B,"=" &amp; $B356,Historic!$F:$F,"&lt;&gt;0"),"")</f>
        <v/>
      </c>
      <c r="G356" s="9" t="str">
        <f t="shared" si="1"/>
        <v/>
      </c>
    </row>
    <row r="357">
      <c r="E357" t="str">
        <f>IF(A357,SUMIFS(Historic!$E:$E,Historic!$A:$A,"&lt;" &amp; $A357,Historic!$B:$B,"=" &amp; $B357),"")</f>
        <v/>
      </c>
      <c r="F357" s="59" t="str">
        <f>IF(A357,-SUMIFS(Historic!$G:$G,Historic!$A:$A,"&lt;" &amp; $A357,Historic!$B:$B,"=" &amp; $B357,Historic!$F:$F,"&lt;&gt;0"),"")</f>
        <v/>
      </c>
      <c r="G357" s="9" t="str">
        <f t="shared" si="1"/>
        <v/>
      </c>
    </row>
    <row r="358">
      <c r="E358" t="str">
        <f>IF(A358,SUMIFS(Historic!$E:$E,Historic!$A:$A,"&lt;" &amp; $A358,Historic!$B:$B,"=" &amp; $B358),"")</f>
        <v/>
      </c>
      <c r="F358" s="59" t="str">
        <f>IF(A358,-SUMIFS(Historic!$G:$G,Historic!$A:$A,"&lt;" &amp; $A358,Historic!$B:$B,"=" &amp; $B358,Historic!$F:$F,"&lt;&gt;0"),"")</f>
        <v/>
      </c>
      <c r="G358" s="9" t="str">
        <f t="shared" si="1"/>
        <v/>
      </c>
    </row>
    <row r="359">
      <c r="E359" t="str">
        <f>IF(A359,SUMIFS(Historic!$E:$E,Historic!$A:$A,"&lt;" &amp; $A359,Historic!$B:$B,"=" &amp; $B359),"")</f>
        <v/>
      </c>
      <c r="F359" s="59" t="str">
        <f>IF(A359,-SUMIFS(Historic!$G:$G,Historic!$A:$A,"&lt;" &amp; $A359,Historic!$B:$B,"=" &amp; $B359,Historic!$F:$F,"&lt;&gt;0"),"")</f>
        <v/>
      </c>
      <c r="G359" s="9" t="str">
        <f t="shared" si="1"/>
        <v/>
      </c>
    </row>
    <row r="360">
      <c r="E360" t="str">
        <f>IF(A360,SUMIFS(Historic!$E:$E,Historic!$A:$A,"&lt;" &amp; $A360,Historic!$B:$B,"=" &amp; $B360),"")</f>
        <v/>
      </c>
      <c r="F360" s="59" t="str">
        <f>IF(A360,-SUMIFS(Historic!$G:$G,Historic!$A:$A,"&lt;" &amp; $A360,Historic!$B:$B,"=" &amp; $B360,Historic!$F:$F,"&lt;&gt;0"),"")</f>
        <v/>
      </c>
      <c r="G360" s="9" t="str">
        <f t="shared" si="1"/>
        <v/>
      </c>
    </row>
    <row r="361">
      <c r="E361" t="str">
        <f>IF(A361,SUMIFS(Historic!$E:$E,Historic!$A:$A,"&lt;" &amp; $A361,Historic!$B:$B,"=" &amp; $B361),"")</f>
        <v/>
      </c>
      <c r="F361" s="59" t="str">
        <f>IF(A361,-SUMIFS(Historic!$G:$G,Historic!$A:$A,"&lt;" &amp; $A361,Historic!$B:$B,"=" &amp; $B361,Historic!$F:$F,"&lt;&gt;0"),"")</f>
        <v/>
      </c>
      <c r="G361" s="9" t="str">
        <f t="shared" si="1"/>
        <v/>
      </c>
    </row>
    <row r="362">
      <c r="E362" t="str">
        <f>IF(A362,SUMIFS(Historic!$E:$E,Historic!$A:$A,"&lt;" &amp; $A362,Historic!$B:$B,"=" &amp; $B362),"")</f>
        <v/>
      </c>
      <c r="F362" s="59" t="str">
        <f>IF(A362,-SUMIFS(Historic!$G:$G,Historic!$A:$A,"&lt;" &amp; $A362,Historic!$B:$B,"=" &amp; $B362,Historic!$F:$F,"&lt;&gt;0"),"")</f>
        <v/>
      </c>
      <c r="G362" s="9" t="str">
        <f t="shared" si="1"/>
        <v/>
      </c>
    </row>
    <row r="363">
      <c r="E363" t="str">
        <f>IF(A363,SUMIFS(Historic!$E:$E,Historic!$A:$A,"&lt;" &amp; $A363,Historic!$B:$B,"=" &amp; $B363),"")</f>
        <v/>
      </c>
      <c r="F363" s="59" t="str">
        <f>IF(A363,-SUMIFS(Historic!$G:$G,Historic!$A:$A,"&lt;" &amp; $A363,Historic!$B:$B,"=" &amp; $B363,Historic!$F:$F,"&lt;&gt;0"),"")</f>
        <v/>
      </c>
      <c r="G363" s="9" t="str">
        <f t="shared" si="1"/>
        <v/>
      </c>
    </row>
    <row r="364">
      <c r="E364" t="str">
        <f>IF(A364,SUMIFS(Historic!$E:$E,Historic!$A:$A,"&lt;" &amp; $A364,Historic!$B:$B,"=" &amp; $B364),"")</f>
        <v/>
      </c>
      <c r="F364" s="59" t="str">
        <f>IF(A364,-SUMIFS(Historic!$G:$G,Historic!$A:$A,"&lt;" &amp; $A364,Historic!$B:$B,"=" &amp; $B364,Historic!$F:$F,"&lt;&gt;0"),"")</f>
        <v/>
      </c>
      <c r="G364" s="9" t="str">
        <f t="shared" si="1"/>
        <v/>
      </c>
    </row>
    <row r="365">
      <c r="E365" t="str">
        <f>IF(A365,SUMIFS(Historic!$E:$E,Historic!$A:$A,"&lt;" &amp; $A365,Historic!$B:$B,"=" &amp; $B365),"")</f>
        <v/>
      </c>
      <c r="F365" s="59" t="str">
        <f>IF(A365,-SUMIFS(Historic!$G:$G,Historic!$A:$A,"&lt;" &amp; $A365,Historic!$B:$B,"=" &amp; $B365,Historic!$F:$F,"&lt;&gt;0"),"")</f>
        <v/>
      </c>
      <c r="G365" s="9" t="str">
        <f t="shared" si="1"/>
        <v/>
      </c>
    </row>
    <row r="366">
      <c r="E366" t="str">
        <f>IF(A366,SUMIFS(Historic!$E:$E,Historic!$A:$A,"&lt;" &amp; $A366,Historic!$B:$B,"=" &amp; $B366),"")</f>
        <v/>
      </c>
      <c r="F366" s="59" t="str">
        <f>IF(A366,-SUMIFS(Historic!$G:$G,Historic!$A:$A,"&lt;" &amp; $A366,Historic!$B:$B,"=" &amp; $B366,Historic!$F:$F,"&lt;&gt;0"),"")</f>
        <v/>
      </c>
      <c r="G366" s="9" t="str">
        <f t="shared" si="1"/>
        <v/>
      </c>
    </row>
    <row r="367">
      <c r="E367" t="str">
        <f>IF(A367,SUMIFS(Historic!$E:$E,Historic!$A:$A,"&lt;" &amp; $A367,Historic!$B:$B,"=" &amp; $B367),"")</f>
        <v/>
      </c>
      <c r="F367" s="59" t="str">
        <f>IF(A367,-SUMIFS(Historic!$G:$G,Historic!$A:$A,"&lt;" &amp; $A367,Historic!$B:$B,"=" &amp; $B367,Historic!$F:$F,"&lt;&gt;0"),"")</f>
        <v/>
      </c>
      <c r="G367" s="9" t="str">
        <f t="shared" si="1"/>
        <v/>
      </c>
    </row>
    <row r="368">
      <c r="E368" t="str">
        <f>IF(A368,SUMIFS(Historic!$E:$E,Historic!$A:$A,"&lt;" &amp; $A368,Historic!$B:$B,"=" &amp; $B368),"")</f>
        <v/>
      </c>
      <c r="F368" s="59" t="str">
        <f>IF(A368,-SUMIFS(Historic!$G:$G,Historic!$A:$A,"&lt;" &amp; $A368,Historic!$B:$B,"=" &amp; $B368,Historic!$F:$F,"&lt;&gt;0"),"")</f>
        <v/>
      </c>
      <c r="G368" s="9" t="str">
        <f t="shared" si="1"/>
        <v/>
      </c>
    </row>
    <row r="369">
      <c r="E369" t="str">
        <f>IF(A369,SUMIFS(Historic!$E:$E,Historic!$A:$A,"&lt;" &amp; $A369,Historic!$B:$B,"=" &amp; $B369),"")</f>
        <v/>
      </c>
      <c r="F369" s="59" t="str">
        <f>IF(A369,-SUMIFS(Historic!$G:$G,Historic!$A:$A,"&lt;" &amp; $A369,Historic!$B:$B,"=" &amp; $B369,Historic!$F:$F,"&lt;&gt;0"),"")</f>
        <v/>
      </c>
      <c r="G369" s="9" t="str">
        <f t="shared" si="1"/>
        <v/>
      </c>
    </row>
    <row r="370">
      <c r="E370" t="str">
        <f>IF(A370,SUMIFS(Historic!$E:$E,Historic!$A:$A,"&lt;" &amp; $A370,Historic!$B:$B,"=" &amp; $B370),"")</f>
        <v/>
      </c>
      <c r="F370" s="59" t="str">
        <f>IF(A370,-SUMIFS(Historic!$G:$G,Historic!$A:$A,"&lt;" &amp; $A370,Historic!$B:$B,"=" &amp; $B370,Historic!$F:$F,"&lt;&gt;0"),"")</f>
        <v/>
      </c>
      <c r="G370" s="9" t="str">
        <f t="shared" si="1"/>
        <v/>
      </c>
    </row>
    <row r="371">
      <c r="E371" t="str">
        <f>IF(A371,SUMIFS(Historic!$E:$E,Historic!$A:$A,"&lt;" &amp; $A371,Historic!$B:$B,"=" &amp; $B371),"")</f>
        <v/>
      </c>
      <c r="F371" s="59" t="str">
        <f>IF(A371,-SUMIFS(Historic!$G:$G,Historic!$A:$A,"&lt;" &amp; $A371,Historic!$B:$B,"=" &amp; $B371,Historic!$F:$F,"&lt;&gt;0"),"")</f>
        <v/>
      </c>
      <c r="G371" s="9" t="str">
        <f t="shared" si="1"/>
        <v/>
      </c>
    </row>
    <row r="372">
      <c r="E372" t="str">
        <f>IF(A372,SUMIFS(Historic!$E:$E,Historic!$A:$A,"&lt;" &amp; $A372,Historic!$B:$B,"=" &amp; $B372),"")</f>
        <v/>
      </c>
      <c r="F372" s="59" t="str">
        <f>IF(A372,-SUMIFS(Historic!$G:$G,Historic!$A:$A,"&lt;" &amp; $A372,Historic!$B:$B,"=" &amp; $B372,Historic!$F:$F,"&lt;&gt;0"),"")</f>
        <v/>
      </c>
      <c r="G372" s="9" t="str">
        <f t="shared" si="1"/>
        <v/>
      </c>
    </row>
    <row r="373">
      <c r="E373" t="str">
        <f>IF(A373,SUMIFS(Historic!$E:$E,Historic!$A:$A,"&lt;" &amp; $A373,Historic!$B:$B,"=" &amp; $B373),"")</f>
        <v/>
      </c>
      <c r="F373" s="59" t="str">
        <f>IF(A373,-SUMIFS(Historic!$G:$G,Historic!$A:$A,"&lt;" &amp; $A373,Historic!$B:$B,"=" &amp; $B373,Historic!$F:$F,"&lt;&gt;0"),"")</f>
        <v/>
      </c>
      <c r="G373" s="9" t="str">
        <f t="shared" si="1"/>
        <v/>
      </c>
    </row>
    <row r="374">
      <c r="E374" t="str">
        <f>IF(A374,SUMIFS(Historic!$E:$E,Historic!$A:$A,"&lt;" &amp; $A374,Historic!$B:$B,"=" &amp; $B374),"")</f>
        <v/>
      </c>
      <c r="F374" s="59" t="str">
        <f>IF(A374,-SUMIFS(Historic!$G:$G,Historic!$A:$A,"&lt;" &amp; $A374,Historic!$B:$B,"=" &amp; $B374,Historic!$F:$F,"&lt;&gt;0"),"")</f>
        <v/>
      </c>
      <c r="G374" s="9" t="str">
        <f t="shared" si="1"/>
        <v/>
      </c>
    </row>
    <row r="375">
      <c r="E375" t="str">
        <f>IF(A375,SUMIFS(Historic!$E:$E,Historic!$A:$A,"&lt;" &amp; $A375,Historic!$B:$B,"=" &amp; $B375),"")</f>
        <v/>
      </c>
      <c r="F375" s="59" t="str">
        <f>IF(A375,-SUMIFS(Historic!$G:$G,Historic!$A:$A,"&lt;" &amp; $A375,Historic!$B:$B,"=" &amp; $B375,Historic!$F:$F,"&lt;&gt;0"),"")</f>
        <v/>
      </c>
      <c r="G375" s="9" t="str">
        <f t="shared" si="1"/>
        <v/>
      </c>
    </row>
    <row r="376">
      <c r="E376" t="str">
        <f>IF(A376,SUMIFS(Historic!$E:$E,Historic!$A:$A,"&lt;" &amp; $A376,Historic!$B:$B,"=" &amp; $B376),"")</f>
        <v/>
      </c>
      <c r="F376" s="59" t="str">
        <f>IF(A376,-SUMIFS(Historic!$G:$G,Historic!$A:$A,"&lt;" &amp; $A376,Historic!$B:$B,"=" &amp; $B376,Historic!$F:$F,"&lt;&gt;0"),"")</f>
        <v/>
      </c>
      <c r="G376" s="9" t="str">
        <f t="shared" si="1"/>
        <v/>
      </c>
    </row>
    <row r="377">
      <c r="E377" t="str">
        <f>IF(A377,SUMIFS(Historic!$E:$E,Historic!$A:$A,"&lt;" &amp; $A377,Historic!$B:$B,"=" &amp; $B377),"")</f>
        <v/>
      </c>
      <c r="F377" s="59" t="str">
        <f>IF(A377,-SUMIFS(Historic!$G:$G,Historic!$A:$A,"&lt;" &amp; $A377,Historic!$B:$B,"=" &amp; $B377,Historic!$F:$F,"&lt;&gt;0"),"")</f>
        <v/>
      </c>
      <c r="G377" s="9" t="str">
        <f t="shared" si="1"/>
        <v/>
      </c>
    </row>
    <row r="378">
      <c r="E378" t="str">
        <f>IF(A378,SUMIFS(Historic!$E:$E,Historic!$A:$A,"&lt;" &amp; $A378,Historic!$B:$B,"=" &amp; $B378),"")</f>
        <v/>
      </c>
      <c r="F378" s="59" t="str">
        <f>IF(A378,-SUMIFS(Historic!$G:$G,Historic!$A:$A,"&lt;" &amp; $A378,Historic!$B:$B,"=" &amp; $B378,Historic!$F:$F,"&lt;&gt;0"),"")</f>
        <v/>
      </c>
      <c r="G378" s="9" t="str">
        <f t="shared" si="1"/>
        <v/>
      </c>
    </row>
    <row r="379">
      <c r="E379" t="str">
        <f>IF(A379,SUMIFS(Historic!$E:$E,Historic!$A:$A,"&lt;" &amp; $A379,Historic!$B:$B,"=" &amp; $B379),"")</f>
        <v/>
      </c>
      <c r="F379" s="59" t="str">
        <f>IF(A379,-SUMIFS(Historic!$G:$G,Historic!$A:$A,"&lt;" &amp; $A379,Historic!$B:$B,"=" &amp; $B379,Historic!$F:$F,"&lt;&gt;0"),"")</f>
        <v/>
      </c>
      <c r="G379" s="9" t="str">
        <f t="shared" si="1"/>
        <v/>
      </c>
    </row>
    <row r="380">
      <c r="E380" t="str">
        <f>IF(A380,SUMIFS(Historic!$E:$E,Historic!$A:$A,"&lt;" &amp; $A380,Historic!$B:$B,"=" &amp; $B380),"")</f>
        <v/>
      </c>
      <c r="F380" s="59" t="str">
        <f>IF(A380,-SUMIFS(Historic!$G:$G,Historic!$A:$A,"&lt;" &amp; $A380,Historic!$B:$B,"=" &amp; $B380,Historic!$F:$F,"&lt;&gt;0"),"")</f>
        <v/>
      </c>
      <c r="G380" s="9" t="str">
        <f t="shared" si="1"/>
        <v/>
      </c>
    </row>
    <row r="381">
      <c r="E381" t="str">
        <f>IF(A381,SUMIFS(Historic!$E:$E,Historic!$A:$A,"&lt;" &amp; $A381,Historic!$B:$B,"=" &amp; $B381),"")</f>
        <v/>
      </c>
      <c r="F381" s="59" t="str">
        <f>IF(A381,-SUMIFS(Historic!$G:$G,Historic!$A:$A,"&lt;" &amp; $A381,Historic!$B:$B,"=" &amp; $B381,Historic!$F:$F,"&lt;&gt;0"),"")</f>
        <v/>
      </c>
      <c r="G381" s="9" t="str">
        <f t="shared" si="1"/>
        <v/>
      </c>
    </row>
    <row r="382">
      <c r="E382" t="str">
        <f>IF(A382,SUMIFS(Historic!$E:$E,Historic!$A:$A,"&lt;" &amp; $A382,Historic!$B:$B,"=" &amp; $B382),"")</f>
        <v/>
      </c>
      <c r="F382" s="59" t="str">
        <f>IF(A382,-SUMIFS(Historic!$G:$G,Historic!$A:$A,"&lt;" &amp; $A382,Historic!$B:$B,"=" &amp; $B382,Historic!$F:$F,"&lt;&gt;0"),"")</f>
        <v/>
      </c>
      <c r="G382" s="9" t="str">
        <f t="shared" si="1"/>
        <v/>
      </c>
    </row>
    <row r="383">
      <c r="E383" t="str">
        <f>IF(A383,SUMIFS(Historic!$E:$E,Historic!$A:$A,"&lt;" &amp; $A383,Historic!$B:$B,"=" &amp; $B383),"")</f>
        <v/>
      </c>
      <c r="F383" s="59" t="str">
        <f>IF(A383,-SUMIFS(Historic!$G:$G,Historic!$A:$A,"&lt;" &amp; $A383,Historic!$B:$B,"=" &amp; $B383,Historic!$F:$F,"&lt;&gt;0"),"")</f>
        <v/>
      </c>
      <c r="G383" s="9" t="str">
        <f t="shared" si="1"/>
        <v/>
      </c>
    </row>
    <row r="384">
      <c r="E384" t="str">
        <f>IF(A384,SUMIFS(Historic!$E:$E,Historic!$A:$A,"&lt;" &amp; $A384,Historic!$B:$B,"=" &amp; $B384),"")</f>
        <v/>
      </c>
      <c r="F384" s="59" t="str">
        <f>IF(A384,-SUMIFS(Historic!$G:$G,Historic!$A:$A,"&lt;" &amp; $A384,Historic!$B:$B,"=" &amp; $B384,Historic!$F:$F,"&lt;&gt;0"),"")</f>
        <v/>
      </c>
      <c r="G384" s="9" t="str">
        <f t="shared" si="1"/>
        <v/>
      </c>
    </row>
    <row r="385">
      <c r="E385" t="str">
        <f>IF(A385,SUMIFS(Historic!$E:$E,Historic!$A:$A,"&lt;" &amp; $A385,Historic!$B:$B,"=" &amp; $B385),"")</f>
        <v/>
      </c>
      <c r="F385" s="59" t="str">
        <f>IF(A385,-SUMIFS(Historic!$G:$G,Historic!$A:$A,"&lt;" &amp; $A385,Historic!$B:$B,"=" &amp; $B385,Historic!$F:$F,"&lt;&gt;0"),"")</f>
        <v/>
      </c>
      <c r="G385" s="9" t="str">
        <f t="shared" si="1"/>
        <v/>
      </c>
    </row>
    <row r="386">
      <c r="E386" t="str">
        <f>IF(A386,SUMIFS(Historic!$E:$E,Historic!$A:$A,"&lt;" &amp; $A386,Historic!$B:$B,"=" &amp; $B386),"")</f>
        <v/>
      </c>
      <c r="F386" s="59" t="str">
        <f>IF(A386,-SUMIFS(Historic!$G:$G,Historic!$A:$A,"&lt;" &amp; $A386,Historic!$B:$B,"=" &amp; $B386,Historic!$F:$F,"&lt;&gt;0"),"")</f>
        <v/>
      </c>
      <c r="G386" s="9" t="str">
        <f t="shared" si="1"/>
        <v/>
      </c>
    </row>
    <row r="387">
      <c r="E387" t="str">
        <f>IF(A387,SUMIFS(Historic!$E:$E,Historic!$A:$A,"&lt;" &amp; $A387,Historic!$B:$B,"=" &amp; $B387),"")</f>
        <v/>
      </c>
      <c r="F387" s="59" t="str">
        <f>IF(A387,-SUMIFS(Historic!$G:$G,Historic!$A:$A,"&lt;" &amp; $A387,Historic!$B:$B,"=" &amp; $B387,Historic!$F:$F,"&lt;&gt;0"),"")</f>
        <v/>
      </c>
      <c r="G387" s="9" t="str">
        <f t="shared" si="1"/>
        <v/>
      </c>
    </row>
    <row r="388">
      <c r="E388" t="str">
        <f>IF(A388,SUMIFS(Historic!$E:$E,Historic!$A:$A,"&lt;" &amp; $A388,Historic!$B:$B,"=" &amp; $B388),"")</f>
        <v/>
      </c>
      <c r="F388" s="59" t="str">
        <f>IF(A388,-SUMIFS(Historic!$G:$G,Historic!$A:$A,"&lt;" &amp; $A388,Historic!$B:$B,"=" &amp; $B388,Historic!$F:$F,"&lt;&gt;0"),"")</f>
        <v/>
      </c>
      <c r="G388" s="9" t="str">
        <f t="shared" si="1"/>
        <v/>
      </c>
    </row>
    <row r="389">
      <c r="E389" t="str">
        <f>IF(A389,SUMIFS(Historic!$E:$E,Historic!$A:$A,"&lt;" &amp; $A389,Historic!$B:$B,"=" &amp; $B389),"")</f>
        <v/>
      </c>
      <c r="F389" s="59" t="str">
        <f>IF(A389,-SUMIFS(Historic!$G:$G,Historic!$A:$A,"&lt;" &amp; $A389,Historic!$B:$B,"=" &amp; $B389,Historic!$F:$F,"&lt;&gt;0"),"")</f>
        <v/>
      </c>
      <c r="G389" s="9" t="str">
        <f t="shared" si="1"/>
        <v/>
      </c>
    </row>
    <row r="390">
      <c r="E390" t="str">
        <f>IF(A390,SUMIFS(Historic!$E:$E,Historic!$A:$A,"&lt;" &amp; $A390,Historic!$B:$B,"=" &amp; $B390),"")</f>
        <v/>
      </c>
      <c r="F390" s="59" t="str">
        <f>IF(A390,-SUMIFS(Historic!$G:$G,Historic!$A:$A,"&lt;" &amp; $A390,Historic!$B:$B,"=" &amp; $B390,Historic!$F:$F,"&lt;&gt;0"),"")</f>
        <v/>
      </c>
      <c r="G390" s="9" t="str">
        <f t="shared" si="1"/>
        <v/>
      </c>
    </row>
    <row r="391">
      <c r="E391" t="str">
        <f>IF(A391,SUMIFS(Historic!$E:$E,Historic!$A:$A,"&lt;" &amp; $A391,Historic!$B:$B,"=" &amp; $B391),"")</f>
        <v/>
      </c>
      <c r="F391" s="59" t="str">
        <f>IF(A391,-SUMIFS(Historic!$G:$G,Historic!$A:$A,"&lt;" &amp; $A391,Historic!$B:$B,"=" &amp; $B391,Historic!$F:$F,"&lt;&gt;0"),"")</f>
        <v/>
      </c>
      <c r="G391" s="9" t="str">
        <f t="shared" si="1"/>
        <v/>
      </c>
    </row>
    <row r="392">
      <c r="E392" t="str">
        <f>IF(A392,SUMIFS(Historic!$E:$E,Historic!$A:$A,"&lt;" &amp; $A392,Historic!$B:$B,"=" &amp; $B392),"")</f>
        <v/>
      </c>
      <c r="F392" s="59" t="str">
        <f>IF(A392,-SUMIFS(Historic!$G:$G,Historic!$A:$A,"&lt;" &amp; $A392,Historic!$B:$B,"=" &amp; $B392,Historic!$F:$F,"&lt;&gt;0"),"")</f>
        <v/>
      </c>
      <c r="G392" s="9" t="str">
        <f t="shared" si="1"/>
        <v/>
      </c>
    </row>
    <row r="393">
      <c r="E393" t="str">
        <f>IF(A393,SUMIFS(Historic!$E:$E,Historic!$A:$A,"&lt;" &amp; $A393,Historic!$B:$B,"=" &amp; $B393),"")</f>
        <v/>
      </c>
      <c r="F393" s="59" t="str">
        <f>IF(A393,-SUMIFS(Historic!$G:$G,Historic!$A:$A,"&lt;" &amp; $A393,Historic!$B:$B,"=" &amp; $B393,Historic!$F:$F,"&lt;&gt;0"),"")</f>
        <v/>
      </c>
      <c r="G393" s="9" t="str">
        <f t="shared" si="1"/>
        <v/>
      </c>
    </row>
    <row r="394">
      <c r="E394" t="str">
        <f>IF(A394,SUMIFS(Historic!$E:$E,Historic!$A:$A,"&lt;" &amp; $A394,Historic!$B:$B,"=" &amp; $B394),"")</f>
        <v/>
      </c>
      <c r="F394" s="59" t="str">
        <f>IF(A394,-SUMIFS(Historic!$G:$G,Historic!$A:$A,"&lt;" &amp; $A394,Historic!$B:$B,"=" &amp; $B394,Historic!$F:$F,"&lt;&gt;0"),"")</f>
        <v/>
      </c>
      <c r="G394" s="9" t="str">
        <f t="shared" si="1"/>
        <v/>
      </c>
    </row>
    <row r="395">
      <c r="E395" t="str">
        <f>IF(A395,SUMIFS(Historic!$E:$E,Historic!$A:$A,"&lt;" &amp; $A395,Historic!$B:$B,"=" &amp; $B395),"")</f>
        <v/>
      </c>
      <c r="F395" s="59" t="str">
        <f>IF(A395,-SUMIFS(Historic!$G:$G,Historic!$A:$A,"&lt;" &amp; $A395,Historic!$B:$B,"=" &amp; $B395,Historic!$F:$F,"&lt;&gt;0"),"")</f>
        <v/>
      </c>
      <c r="G395" s="9" t="str">
        <f t="shared" si="1"/>
        <v/>
      </c>
    </row>
    <row r="396">
      <c r="E396" t="str">
        <f>IF(A396,SUMIFS(Historic!$E:$E,Historic!$A:$A,"&lt;" &amp; $A396,Historic!$B:$B,"=" &amp; $B396),"")</f>
        <v/>
      </c>
      <c r="F396" s="59" t="str">
        <f>IF(A396,-SUMIFS(Historic!$G:$G,Historic!$A:$A,"&lt;" &amp; $A396,Historic!$B:$B,"=" &amp; $B396,Historic!$F:$F,"&lt;&gt;0"),"")</f>
        <v/>
      </c>
      <c r="G396" s="9" t="str">
        <f t="shared" si="1"/>
        <v/>
      </c>
    </row>
    <row r="397">
      <c r="E397" t="str">
        <f>IF(A397,SUMIFS(Historic!$E:$E,Historic!$A:$A,"&lt;" &amp; $A397,Historic!$B:$B,"=" &amp; $B397),"")</f>
        <v/>
      </c>
      <c r="F397" s="59" t="str">
        <f>IF(A397,-SUMIFS(Historic!$G:$G,Historic!$A:$A,"&lt;" &amp; $A397,Historic!$B:$B,"=" &amp; $B397,Historic!$F:$F,"&lt;&gt;0"),"")</f>
        <v/>
      </c>
      <c r="G397" s="9" t="str">
        <f t="shared" si="1"/>
        <v/>
      </c>
    </row>
    <row r="398">
      <c r="E398" t="str">
        <f>IF(A398,SUMIFS(Historic!$E:$E,Historic!$A:$A,"&lt;" &amp; $A398,Historic!$B:$B,"=" &amp; $B398),"")</f>
        <v/>
      </c>
      <c r="F398" s="59" t="str">
        <f>IF(A398,-SUMIFS(Historic!$G:$G,Historic!$A:$A,"&lt;" &amp; $A398,Historic!$B:$B,"=" &amp; $B398,Historic!$F:$F,"&lt;&gt;0"),"")</f>
        <v/>
      </c>
      <c r="G398" s="9" t="str">
        <f t="shared" si="1"/>
        <v/>
      </c>
    </row>
    <row r="399">
      <c r="E399" t="str">
        <f>IF(A399,SUMIFS(Historic!$E:$E,Historic!$A:$A,"&lt;" &amp; $A399,Historic!$B:$B,"=" &amp; $B399),"")</f>
        <v/>
      </c>
      <c r="F399" s="59" t="str">
        <f>IF(A399,-SUMIFS(Historic!$G:$G,Historic!$A:$A,"&lt;" &amp; $A399,Historic!$B:$B,"=" &amp; $B399,Historic!$F:$F,"&lt;&gt;0"),"")</f>
        <v/>
      </c>
      <c r="G399" s="9" t="str">
        <f t="shared" si="1"/>
        <v/>
      </c>
    </row>
    <row r="400">
      <c r="E400" t="str">
        <f>IF(A400,SUMIFS(Historic!$E:$E,Historic!$A:$A,"&lt;" &amp; $A400,Historic!$B:$B,"=" &amp; $B400),"")</f>
        <v/>
      </c>
      <c r="F400" s="59" t="str">
        <f>IF(A400,-SUMIFS(Historic!$G:$G,Historic!$A:$A,"&lt;" &amp; $A400,Historic!$B:$B,"=" &amp; $B400,Historic!$F:$F,"&lt;&gt;0"),"")</f>
        <v/>
      </c>
      <c r="G400" s="9" t="str">
        <f t="shared" si="1"/>
        <v/>
      </c>
    </row>
    <row r="401">
      <c r="E401" t="str">
        <f>IF(A401,SUMIFS(Historic!$E:$E,Historic!$A:$A,"&lt;" &amp; $A401,Historic!$B:$B,"=" &amp; $B401),"")</f>
        <v/>
      </c>
      <c r="F401" s="59" t="str">
        <f>IF(A401,-SUMIFS(Historic!$G:$G,Historic!$A:$A,"&lt;" &amp; $A401,Historic!$B:$B,"=" &amp; $B401,Historic!$F:$F,"&lt;&gt;0"),"")</f>
        <v/>
      </c>
      <c r="G401" s="9" t="str">
        <f t="shared" si="1"/>
        <v/>
      </c>
    </row>
    <row r="402">
      <c r="E402" t="str">
        <f>IF(A402,SUMIFS(Historic!$E:$E,Historic!$A:$A,"&lt;" &amp; $A402,Historic!$B:$B,"=" &amp; $B402),"")</f>
        <v/>
      </c>
      <c r="F402" s="59" t="str">
        <f>IF(A402,-SUMIFS(Historic!$G:$G,Historic!$A:$A,"&lt;" &amp; $A402,Historic!$B:$B,"=" &amp; $B402,Historic!$F:$F,"&lt;&gt;0"),"")</f>
        <v/>
      </c>
      <c r="G402" s="9" t="str">
        <f t="shared" si="1"/>
        <v/>
      </c>
    </row>
    <row r="403">
      <c r="E403" t="str">
        <f>IF(A403,SUMIFS(Historic!$E:$E,Historic!$A:$A,"&lt;" &amp; $A403,Historic!$B:$B,"=" &amp; $B403),"")</f>
        <v/>
      </c>
      <c r="F403" s="59" t="str">
        <f>IF(A403,-SUMIFS(Historic!$G:$G,Historic!$A:$A,"&lt;" &amp; $A403,Historic!$B:$B,"=" &amp; $B403,Historic!$F:$F,"&lt;&gt;0"),"")</f>
        <v/>
      </c>
      <c r="G403" s="9" t="str">
        <f t="shared" si="1"/>
        <v/>
      </c>
    </row>
    <row r="404">
      <c r="E404" t="str">
        <f>IF(A404,SUMIFS(Historic!$E:$E,Historic!$A:$A,"&lt;" &amp; $A404,Historic!$B:$B,"=" &amp; $B404),"")</f>
        <v/>
      </c>
      <c r="F404" s="59" t="str">
        <f>IF(A404,-SUMIFS(Historic!$G:$G,Historic!$A:$A,"&lt;" &amp; $A404,Historic!$B:$B,"=" &amp; $B404,Historic!$F:$F,"&lt;&gt;0"),"")</f>
        <v/>
      </c>
      <c r="G404" s="9" t="str">
        <f t="shared" si="1"/>
        <v/>
      </c>
    </row>
    <row r="405">
      <c r="E405" t="str">
        <f>IF(A405,SUMIFS(Historic!$E:$E,Historic!$A:$A,"&lt;" &amp; $A405,Historic!$B:$B,"=" &amp; $B405),"")</f>
        <v/>
      </c>
      <c r="F405" s="59" t="str">
        <f>IF(A405,-SUMIFS(Historic!$G:$G,Historic!$A:$A,"&lt;" &amp; $A405,Historic!$B:$B,"=" &amp; $B405,Historic!$F:$F,"&lt;&gt;0"),"")</f>
        <v/>
      </c>
      <c r="G405" s="9" t="str">
        <f t="shared" si="1"/>
        <v/>
      </c>
    </row>
    <row r="406">
      <c r="E406" t="str">
        <f>IF(A406,SUMIFS(Historic!$E:$E,Historic!$A:$A,"&lt;" &amp; $A406,Historic!$B:$B,"=" &amp; $B406),"")</f>
        <v/>
      </c>
      <c r="F406" s="59" t="str">
        <f>IF(A406,-SUMIFS(Historic!$G:$G,Historic!$A:$A,"&lt;" &amp; $A406,Historic!$B:$B,"=" &amp; $B406,Historic!$F:$F,"&lt;&gt;0"),"")</f>
        <v/>
      </c>
      <c r="G406" s="9" t="str">
        <f t="shared" si="1"/>
        <v/>
      </c>
    </row>
    <row r="407">
      <c r="E407" t="str">
        <f>IF(A407,SUMIFS(Historic!$E:$E,Historic!$A:$A,"&lt;" &amp; $A407,Historic!$B:$B,"=" &amp; $B407),"")</f>
        <v/>
      </c>
      <c r="F407" s="59" t="str">
        <f>IF(A407,-SUMIFS(Historic!$G:$G,Historic!$A:$A,"&lt;" &amp; $A407,Historic!$B:$B,"=" &amp; $B407,Historic!$F:$F,"&lt;&gt;0"),"")</f>
        <v/>
      </c>
      <c r="G407" s="9" t="str">
        <f t="shared" si="1"/>
        <v/>
      </c>
    </row>
    <row r="408">
      <c r="E408" t="str">
        <f>IF(A408,SUMIFS(Historic!$E:$E,Historic!$A:$A,"&lt;" &amp; $A408,Historic!$B:$B,"=" &amp; $B408),"")</f>
        <v/>
      </c>
      <c r="F408" s="59" t="str">
        <f>IF(A408,-SUMIFS(Historic!$G:$G,Historic!$A:$A,"&lt;" &amp; $A408,Historic!$B:$B,"=" &amp; $B408,Historic!$F:$F,"&lt;&gt;0"),"")</f>
        <v/>
      </c>
      <c r="G408" s="9" t="str">
        <f t="shared" si="1"/>
        <v/>
      </c>
    </row>
    <row r="409">
      <c r="E409" t="str">
        <f>IF(A409,SUMIFS(Historic!$E:$E,Historic!$A:$A,"&lt;" &amp; $A409,Historic!$B:$B,"=" &amp; $B409),"")</f>
        <v/>
      </c>
      <c r="F409" s="59" t="str">
        <f>IF(A409,-SUMIFS(Historic!$G:$G,Historic!$A:$A,"&lt;" &amp; $A409,Historic!$B:$B,"=" &amp; $B409,Historic!$F:$F,"&lt;&gt;0"),"")</f>
        <v/>
      </c>
      <c r="G409" s="9" t="str">
        <f t="shared" si="1"/>
        <v/>
      </c>
    </row>
    <row r="410">
      <c r="E410" t="str">
        <f>IF(A410,SUMIFS(Historic!$E:$E,Historic!$A:$A,"&lt;" &amp; $A410,Historic!$B:$B,"=" &amp; $B410),"")</f>
        <v/>
      </c>
      <c r="F410" s="59" t="str">
        <f>IF(A410,-SUMIFS(Historic!$G:$G,Historic!$A:$A,"&lt;" &amp; $A410,Historic!$B:$B,"=" &amp; $B410,Historic!$F:$F,"&lt;&gt;0"),"")</f>
        <v/>
      </c>
      <c r="G410" s="9" t="str">
        <f t="shared" si="1"/>
        <v/>
      </c>
    </row>
    <row r="411">
      <c r="E411" t="str">
        <f>IF(A411,SUMIFS(Historic!$E:$E,Historic!$A:$A,"&lt;" &amp; $A411,Historic!$B:$B,"=" &amp; $B411),"")</f>
        <v/>
      </c>
      <c r="F411" s="59" t="str">
        <f>IF(A411,-SUMIFS(Historic!$G:$G,Historic!$A:$A,"&lt;" &amp; $A411,Historic!$B:$B,"=" &amp; $B411,Historic!$F:$F,"&lt;&gt;0"),"")</f>
        <v/>
      </c>
      <c r="G411" s="9" t="str">
        <f t="shared" si="1"/>
        <v/>
      </c>
    </row>
    <row r="412">
      <c r="E412" t="str">
        <f>IF(A412,SUMIFS(Historic!$E:$E,Historic!$A:$A,"&lt;" &amp; $A412,Historic!$B:$B,"=" &amp; $B412),"")</f>
        <v/>
      </c>
      <c r="F412" s="59" t="str">
        <f>IF(A412,-SUMIFS(Historic!$G:$G,Historic!$A:$A,"&lt;" &amp; $A412,Historic!$B:$B,"=" &amp; $B412,Historic!$F:$F,"&lt;&gt;0"),"")</f>
        <v/>
      </c>
      <c r="G412" s="9" t="str">
        <f t="shared" si="1"/>
        <v/>
      </c>
    </row>
    <row r="413">
      <c r="E413" t="str">
        <f>IF(A413,SUMIFS(Historic!$E:$E,Historic!$A:$A,"&lt;" &amp; $A413,Historic!$B:$B,"=" &amp; $B413),"")</f>
        <v/>
      </c>
      <c r="F413" s="59" t="str">
        <f>IF(A413,-SUMIFS(Historic!$G:$G,Historic!$A:$A,"&lt;" &amp; $A413,Historic!$B:$B,"=" &amp; $B413,Historic!$F:$F,"&lt;&gt;0"),"")</f>
        <v/>
      </c>
      <c r="G413" s="9" t="str">
        <f t="shared" si="1"/>
        <v/>
      </c>
    </row>
    <row r="414">
      <c r="E414" t="str">
        <f>IF(A414,SUMIFS(Historic!$E:$E,Historic!$A:$A,"&lt;" &amp; $A414,Historic!$B:$B,"=" &amp; $B414),"")</f>
        <v/>
      </c>
      <c r="F414" s="59" t="str">
        <f>IF(A414,-SUMIFS(Historic!$G:$G,Historic!$A:$A,"&lt;" &amp; $A414,Historic!$B:$B,"=" &amp; $B414,Historic!$F:$F,"&lt;&gt;0"),"")</f>
        <v/>
      </c>
      <c r="G414" s="9" t="str">
        <f t="shared" si="1"/>
        <v/>
      </c>
    </row>
    <row r="415">
      <c r="E415" t="str">
        <f>IF(A415,SUMIFS(Historic!$E:$E,Historic!$A:$A,"&lt;" &amp; $A415,Historic!$B:$B,"=" &amp; $B415),"")</f>
        <v/>
      </c>
      <c r="F415" s="59" t="str">
        <f>IF(A415,-SUMIFS(Historic!$G:$G,Historic!$A:$A,"&lt;" &amp; $A415,Historic!$B:$B,"=" &amp; $B415,Historic!$F:$F,"&lt;&gt;0"),"")</f>
        <v/>
      </c>
      <c r="G415" s="9" t="str">
        <f t="shared" si="1"/>
        <v/>
      </c>
    </row>
    <row r="416">
      <c r="E416" t="str">
        <f>IF(A416,SUMIFS(Historic!$E:$E,Historic!$A:$A,"&lt;" &amp; $A416,Historic!$B:$B,"=" &amp; $B416),"")</f>
        <v/>
      </c>
      <c r="F416" s="59" t="str">
        <f>IF(A416,-SUMIFS(Historic!$G:$G,Historic!$A:$A,"&lt;" &amp; $A416,Historic!$B:$B,"=" &amp; $B416,Historic!$F:$F,"&lt;&gt;0"),"")</f>
        <v/>
      </c>
      <c r="G416" s="9" t="str">
        <f t="shared" si="1"/>
        <v/>
      </c>
    </row>
    <row r="417">
      <c r="E417" t="str">
        <f>IF(A417,SUMIFS(Historic!$E:$E,Historic!$A:$A,"&lt;" &amp; $A417,Historic!$B:$B,"=" &amp; $B417),"")</f>
        <v/>
      </c>
      <c r="F417" s="59" t="str">
        <f>IF(A417,-SUMIFS(Historic!$G:$G,Historic!$A:$A,"&lt;" &amp; $A417,Historic!$B:$B,"=" &amp; $B417,Historic!$F:$F,"&lt;&gt;0"),"")</f>
        <v/>
      </c>
      <c r="G417" s="9" t="str">
        <f t="shared" si="1"/>
        <v/>
      </c>
    </row>
    <row r="418">
      <c r="E418" t="str">
        <f>IF(A418,SUMIFS(Historic!$E:$E,Historic!$A:$A,"&lt;" &amp; $A418,Historic!$B:$B,"=" &amp; $B418),"")</f>
        <v/>
      </c>
      <c r="F418" s="59" t="str">
        <f>IF(A418,-SUMIFS(Historic!$G:$G,Historic!$A:$A,"&lt;" &amp; $A418,Historic!$B:$B,"=" &amp; $B418,Historic!$F:$F,"&lt;&gt;0"),"")</f>
        <v/>
      </c>
      <c r="G418" s="9" t="str">
        <f t="shared" si="1"/>
        <v/>
      </c>
    </row>
    <row r="419">
      <c r="E419" t="str">
        <f>IF(A419,SUMIFS(Historic!$E:$E,Historic!$A:$A,"&lt;" &amp; $A419,Historic!$B:$B,"=" &amp; $B419),"")</f>
        <v/>
      </c>
      <c r="F419" s="59" t="str">
        <f>IF(A419,-SUMIFS(Historic!$G:$G,Historic!$A:$A,"&lt;" &amp; $A419,Historic!$B:$B,"=" &amp; $B419,Historic!$F:$F,"&lt;&gt;0"),"")</f>
        <v/>
      </c>
      <c r="G419" s="9" t="str">
        <f t="shared" si="1"/>
        <v/>
      </c>
    </row>
    <row r="420">
      <c r="E420" t="str">
        <f>IF(A420,SUMIFS(Historic!$E:$E,Historic!$A:$A,"&lt;" &amp; $A420,Historic!$B:$B,"=" &amp; $B420),"")</f>
        <v/>
      </c>
      <c r="F420" s="59" t="str">
        <f>IF(A420,-SUMIFS(Historic!$G:$G,Historic!$A:$A,"&lt;" &amp; $A420,Historic!$B:$B,"=" &amp; $B420,Historic!$F:$F,"&lt;&gt;0"),"")</f>
        <v/>
      </c>
      <c r="G420" s="9" t="str">
        <f t="shared" si="1"/>
        <v/>
      </c>
    </row>
    <row r="421">
      <c r="E421" t="str">
        <f>IF(A421,SUMIFS(Historic!$E:$E,Historic!$A:$A,"&lt;" &amp; $A421,Historic!$B:$B,"=" &amp; $B421),"")</f>
        <v/>
      </c>
      <c r="F421" s="59" t="str">
        <f>IF(A421,-SUMIFS(Historic!$G:$G,Historic!$A:$A,"&lt;" &amp; $A421,Historic!$B:$B,"=" &amp; $B421,Historic!$F:$F,"&lt;&gt;0"),"")</f>
        <v/>
      </c>
      <c r="G421" s="9" t="str">
        <f t="shared" si="1"/>
        <v/>
      </c>
    </row>
    <row r="422">
      <c r="E422" t="str">
        <f>IF(A422,SUMIFS(Historic!$E:$E,Historic!$A:$A,"&lt;" &amp; $A422,Historic!$B:$B,"=" &amp; $B422),"")</f>
        <v/>
      </c>
      <c r="F422" s="59" t="str">
        <f>IF(A422,-SUMIFS(Historic!$G:$G,Historic!$A:$A,"&lt;" &amp; $A422,Historic!$B:$B,"=" &amp; $B422,Historic!$F:$F,"&lt;&gt;0"),"")</f>
        <v/>
      </c>
      <c r="G422" s="9" t="str">
        <f t="shared" si="1"/>
        <v/>
      </c>
    </row>
    <row r="423">
      <c r="E423" t="str">
        <f>IF(A423,SUMIFS(Historic!$E:$E,Historic!$A:$A,"&lt;" &amp; $A423,Historic!$B:$B,"=" &amp; $B423),"")</f>
        <v/>
      </c>
      <c r="F423" s="59" t="str">
        <f>IF(A423,-SUMIFS(Historic!$G:$G,Historic!$A:$A,"&lt;" &amp; $A423,Historic!$B:$B,"=" &amp; $B423,Historic!$F:$F,"&lt;&gt;0"),"")</f>
        <v/>
      </c>
      <c r="G423" s="9" t="str">
        <f t="shared" si="1"/>
        <v/>
      </c>
    </row>
    <row r="424">
      <c r="E424" t="str">
        <f>IF(A424,SUMIFS(Historic!$E:$E,Historic!$A:$A,"&lt;" &amp; $A424,Historic!$B:$B,"=" &amp; $B424),"")</f>
        <v/>
      </c>
      <c r="F424" s="59" t="str">
        <f>IF(A424,-SUMIFS(Historic!$G:$G,Historic!$A:$A,"&lt;" &amp; $A424,Historic!$B:$B,"=" &amp; $B424,Historic!$F:$F,"&lt;&gt;0"),"")</f>
        <v/>
      </c>
      <c r="G424" s="9" t="str">
        <f t="shared" si="1"/>
        <v/>
      </c>
    </row>
    <row r="425">
      <c r="E425" t="str">
        <f>IF(A425,SUMIFS(Historic!$E:$E,Historic!$A:$A,"&lt;" &amp; $A425,Historic!$B:$B,"=" &amp; $B425),"")</f>
        <v/>
      </c>
      <c r="F425" s="59" t="str">
        <f>IF(A425,-SUMIFS(Historic!$G:$G,Historic!$A:$A,"&lt;" &amp; $A425,Historic!$B:$B,"=" &amp; $B425,Historic!$F:$F,"&lt;&gt;0"),"")</f>
        <v/>
      </c>
      <c r="G425" s="9" t="str">
        <f t="shared" si="1"/>
        <v/>
      </c>
    </row>
    <row r="426">
      <c r="E426" t="str">
        <f>IF(A426,SUMIFS(Historic!$E:$E,Historic!$A:$A,"&lt;" &amp; $A426,Historic!$B:$B,"=" &amp; $B426),"")</f>
        <v/>
      </c>
      <c r="F426" s="59" t="str">
        <f>IF(A426,-SUMIFS(Historic!$G:$G,Historic!$A:$A,"&lt;" &amp; $A426,Historic!$B:$B,"=" &amp; $B426,Historic!$F:$F,"&lt;&gt;0"),"")</f>
        <v/>
      </c>
      <c r="G426" s="9" t="str">
        <f t="shared" si="1"/>
        <v/>
      </c>
    </row>
    <row r="427">
      <c r="E427" t="str">
        <f>IF(A427,SUMIFS(Historic!$E:$E,Historic!$A:$A,"&lt;" &amp; $A427,Historic!$B:$B,"=" &amp; $B427),"")</f>
        <v/>
      </c>
      <c r="F427" s="59" t="str">
        <f>IF(A427,-SUMIFS(Historic!$G:$G,Historic!$A:$A,"&lt;" &amp; $A427,Historic!$B:$B,"=" &amp; $B427,Historic!$F:$F,"&lt;&gt;0"),"")</f>
        <v/>
      </c>
      <c r="G427" s="9" t="str">
        <f t="shared" si="1"/>
        <v/>
      </c>
    </row>
    <row r="428">
      <c r="E428" t="str">
        <f>IF(A428,SUMIFS(Historic!$E:$E,Historic!$A:$A,"&lt;" &amp; $A428,Historic!$B:$B,"=" &amp; $B428),"")</f>
        <v/>
      </c>
      <c r="F428" s="59" t="str">
        <f>IF(A428,-SUMIFS(Historic!$G:$G,Historic!$A:$A,"&lt;" &amp; $A428,Historic!$B:$B,"=" &amp; $B428,Historic!$F:$F,"&lt;&gt;0"),"")</f>
        <v/>
      </c>
      <c r="G428" s="9" t="str">
        <f t="shared" si="1"/>
        <v/>
      </c>
    </row>
    <row r="429">
      <c r="E429" t="str">
        <f>IF(A429,SUMIFS(Historic!$E:$E,Historic!$A:$A,"&lt;" &amp; $A429,Historic!$B:$B,"=" &amp; $B429),"")</f>
        <v/>
      </c>
      <c r="F429" s="59" t="str">
        <f>IF(A429,-SUMIFS(Historic!$G:$G,Historic!$A:$A,"&lt;" &amp; $A429,Historic!$B:$B,"=" &amp; $B429,Historic!$F:$F,"&lt;&gt;0"),"")</f>
        <v/>
      </c>
      <c r="G429" s="9" t="str">
        <f t="shared" si="1"/>
        <v/>
      </c>
    </row>
    <row r="430">
      <c r="E430" t="str">
        <f>IF(A430,SUMIFS(Historic!$E:$E,Historic!$A:$A,"&lt;" &amp; $A430,Historic!$B:$B,"=" &amp; $B430),"")</f>
        <v/>
      </c>
      <c r="F430" s="59" t="str">
        <f>IF(A430,-SUMIFS(Historic!$G:$G,Historic!$A:$A,"&lt;" &amp; $A430,Historic!$B:$B,"=" &amp; $B430,Historic!$F:$F,"&lt;&gt;0"),"")</f>
        <v/>
      </c>
      <c r="G430" s="9" t="str">
        <f t="shared" si="1"/>
        <v/>
      </c>
    </row>
    <row r="431">
      <c r="E431" t="str">
        <f>IF(A431,SUMIFS(Historic!$E:$E,Historic!$A:$A,"&lt;" &amp; $A431,Historic!$B:$B,"=" &amp; $B431),"")</f>
        <v/>
      </c>
      <c r="F431" s="59" t="str">
        <f>IF(A431,-SUMIFS(Historic!$G:$G,Historic!$A:$A,"&lt;" &amp; $A431,Historic!$B:$B,"=" &amp; $B431,Historic!$F:$F,"&lt;&gt;0"),"")</f>
        <v/>
      </c>
      <c r="G431" s="9" t="str">
        <f t="shared" si="1"/>
        <v/>
      </c>
    </row>
    <row r="432">
      <c r="E432" t="str">
        <f>IF(A432,SUMIFS(Historic!$E:$E,Historic!$A:$A,"&lt;" &amp; $A432,Historic!$B:$B,"=" &amp; $B432),"")</f>
        <v/>
      </c>
      <c r="F432" s="59" t="str">
        <f>IF(A432,-SUMIFS(Historic!$G:$G,Historic!$A:$A,"&lt;" &amp; $A432,Historic!$B:$B,"=" &amp; $B432,Historic!$F:$F,"&lt;&gt;0"),"")</f>
        <v/>
      </c>
      <c r="G432" s="9" t="str">
        <f t="shared" si="1"/>
        <v/>
      </c>
    </row>
    <row r="433">
      <c r="E433" t="str">
        <f>IF(A433,SUMIFS(Historic!$E:$E,Historic!$A:$A,"&lt;" &amp; $A433,Historic!$B:$B,"=" &amp; $B433),"")</f>
        <v/>
      </c>
      <c r="F433" s="59" t="str">
        <f>IF(A433,-SUMIFS(Historic!$G:$G,Historic!$A:$A,"&lt;" &amp; $A433,Historic!$B:$B,"=" &amp; $B433,Historic!$F:$F,"&lt;&gt;0"),"")</f>
        <v/>
      </c>
      <c r="G433" s="9" t="str">
        <f t="shared" si="1"/>
        <v/>
      </c>
    </row>
    <row r="434">
      <c r="E434" t="str">
        <f>IF(A434,SUMIFS(Historic!$E:$E,Historic!$A:$A,"&lt;" &amp; $A434,Historic!$B:$B,"=" &amp; $B434),"")</f>
        <v/>
      </c>
      <c r="F434" s="59" t="str">
        <f>IF(A434,-SUMIFS(Historic!$G:$G,Historic!$A:$A,"&lt;" &amp; $A434,Historic!$B:$B,"=" &amp; $B434,Historic!$F:$F,"&lt;&gt;0"),"")</f>
        <v/>
      </c>
      <c r="G434" s="9" t="str">
        <f t="shared" si="1"/>
        <v/>
      </c>
    </row>
    <row r="435">
      <c r="E435" t="str">
        <f>IF(A435,SUMIFS(Historic!$E:$E,Historic!$A:$A,"&lt;" &amp; $A435,Historic!$B:$B,"=" &amp; $B435),"")</f>
        <v/>
      </c>
      <c r="F435" s="59" t="str">
        <f>IF(A435,-SUMIFS(Historic!$G:$G,Historic!$A:$A,"&lt;" &amp; $A435,Historic!$B:$B,"=" &amp; $B435,Historic!$F:$F,"&lt;&gt;0"),"")</f>
        <v/>
      </c>
      <c r="G435" s="9" t="str">
        <f t="shared" si="1"/>
        <v/>
      </c>
    </row>
    <row r="436">
      <c r="E436" t="str">
        <f>IF(A436,SUMIFS(Historic!$E:$E,Historic!$A:$A,"&lt;" &amp; $A436,Historic!$B:$B,"=" &amp; $B436),"")</f>
        <v/>
      </c>
      <c r="F436" s="59" t="str">
        <f>IF(A436,-SUMIFS(Historic!$G:$G,Historic!$A:$A,"&lt;" &amp; $A436,Historic!$B:$B,"=" &amp; $B436,Historic!$F:$F,"&lt;&gt;0"),"")</f>
        <v/>
      </c>
      <c r="G436" s="9" t="str">
        <f t="shared" si="1"/>
        <v/>
      </c>
    </row>
    <row r="437">
      <c r="E437" t="str">
        <f>IF(A437,SUMIFS(Historic!$E:$E,Historic!$A:$A,"&lt;" &amp; $A437,Historic!$B:$B,"=" &amp; $B437),"")</f>
        <v/>
      </c>
      <c r="F437" s="59" t="str">
        <f>IF(A437,-SUMIFS(Historic!$G:$G,Historic!$A:$A,"&lt;" &amp; $A437,Historic!$B:$B,"=" &amp; $B437,Historic!$F:$F,"&lt;&gt;0"),"")</f>
        <v/>
      </c>
      <c r="G437" s="9" t="str">
        <f t="shared" si="1"/>
        <v/>
      </c>
    </row>
    <row r="438">
      <c r="E438" t="str">
        <f>IF(A438,SUMIFS(Historic!$E:$E,Historic!$A:$A,"&lt;" &amp; $A438,Historic!$B:$B,"=" &amp; $B438),"")</f>
        <v/>
      </c>
      <c r="F438" s="59" t="str">
        <f>IF(A438,-SUMIFS(Historic!$G:$G,Historic!$A:$A,"&lt;" &amp; $A438,Historic!$B:$B,"=" &amp; $B438,Historic!$F:$F,"&lt;&gt;0"),"")</f>
        <v/>
      </c>
      <c r="G438" s="9" t="str">
        <f t="shared" si="1"/>
        <v/>
      </c>
    </row>
    <row r="439">
      <c r="E439" t="str">
        <f>IF(A439,SUMIFS(Historic!$E:$E,Historic!$A:$A,"&lt;" &amp; $A439,Historic!$B:$B,"=" &amp; $B439),"")</f>
        <v/>
      </c>
      <c r="F439" s="59" t="str">
        <f>IF(A439,-SUMIFS(Historic!$G:$G,Historic!$A:$A,"&lt;" &amp; $A439,Historic!$B:$B,"=" &amp; $B439,Historic!$F:$F,"&lt;&gt;0"),"")</f>
        <v/>
      </c>
      <c r="G439" s="9" t="str">
        <f t="shared" si="1"/>
        <v/>
      </c>
    </row>
    <row r="440">
      <c r="E440" t="str">
        <f>IF(A440,SUMIFS(Historic!$E:$E,Historic!$A:$A,"&lt;" &amp; $A440,Historic!$B:$B,"=" &amp; $B440),"")</f>
        <v/>
      </c>
      <c r="F440" s="59" t="str">
        <f>IF(A440,-SUMIFS(Historic!$G:$G,Historic!$A:$A,"&lt;" &amp; $A440,Historic!$B:$B,"=" &amp; $B440,Historic!$F:$F,"&lt;&gt;0"),"")</f>
        <v/>
      </c>
      <c r="G440" s="9" t="str">
        <f t="shared" si="1"/>
        <v/>
      </c>
    </row>
    <row r="441">
      <c r="E441" t="str">
        <f>IF(A441,SUMIFS(Historic!$E:$E,Historic!$A:$A,"&lt;" &amp; $A441,Historic!$B:$B,"=" &amp; $B441),"")</f>
        <v/>
      </c>
      <c r="F441" s="59" t="str">
        <f>IF(A441,-SUMIFS(Historic!$G:$G,Historic!$A:$A,"&lt;" &amp; $A441,Historic!$B:$B,"=" &amp; $B441,Historic!$F:$F,"&lt;&gt;0"),"")</f>
        <v/>
      </c>
      <c r="G441" s="9" t="str">
        <f t="shared" si="1"/>
        <v/>
      </c>
    </row>
    <row r="442">
      <c r="E442" t="str">
        <f>IF(A442,SUMIFS(Historic!$E:$E,Historic!$A:$A,"&lt;" &amp; $A442,Historic!$B:$B,"=" &amp; $B442),"")</f>
        <v/>
      </c>
      <c r="F442" s="59" t="str">
        <f>IF(A442,-SUMIFS(Historic!$G:$G,Historic!$A:$A,"&lt;" &amp; $A442,Historic!$B:$B,"=" &amp; $B442,Historic!$F:$F,"&lt;&gt;0"),"")</f>
        <v/>
      </c>
      <c r="G442" s="9" t="str">
        <f t="shared" si="1"/>
        <v/>
      </c>
    </row>
    <row r="443">
      <c r="E443" t="str">
        <f>IF(A443,SUMIFS(Historic!$E:$E,Historic!$A:$A,"&lt;" &amp; $A443,Historic!$B:$B,"=" &amp; $B443),"")</f>
        <v/>
      </c>
      <c r="F443" s="59" t="str">
        <f>IF(A443,-SUMIFS(Historic!$G:$G,Historic!$A:$A,"&lt;" &amp; $A443,Historic!$B:$B,"=" &amp; $B443,Historic!$F:$F,"&lt;&gt;0"),"")</f>
        <v/>
      </c>
      <c r="G443" s="9" t="str">
        <f t="shared" si="1"/>
        <v/>
      </c>
    </row>
    <row r="444">
      <c r="E444" t="str">
        <f>IF(A444,SUMIFS(Historic!$E:$E,Historic!$A:$A,"&lt;" &amp; $A444,Historic!$B:$B,"=" &amp; $B444),"")</f>
        <v/>
      </c>
      <c r="F444" s="59" t="str">
        <f>IF(A444,-SUMIFS(Historic!$G:$G,Historic!$A:$A,"&lt;" &amp; $A444,Historic!$B:$B,"=" &amp; $B444,Historic!$F:$F,"&lt;&gt;0"),"")</f>
        <v/>
      </c>
      <c r="G444" s="9" t="str">
        <f t="shared" si="1"/>
        <v/>
      </c>
    </row>
    <row r="445">
      <c r="E445" t="str">
        <f>IF(A445,SUMIFS(Historic!$E:$E,Historic!$A:$A,"&lt;" &amp; $A445,Historic!$B:$B,"=" &amp; $B445),"")</f>
        <v/>
      </c>
      <c r="F445" s="59" t="str">
        <f>IF(A445,-SUMIFS(Historic!$G:$G,Historic!$A:$A,"&lt;" &amp; $A445,Historic!$B:$B,"=" &amp; $B445,Historic!$F:$F,"&lt;&gt;0"),"")</f>
        <v/>
      </c>
      <c r="G445" s="9" t="str">
        <f t="shared" si="1"/>
        <v/>
      </c>
    </row>
    <row r="446">
      <c r="E446" t="str">
        <f>IF(A446,SUMIFS(Historic!$E:$E,Historic!$A:$A,"&lt;" &amp; $A446,Historic!$B:$B,"=" &amp; $B446),"")</f>
        <v/>
      </c>
      <c r="F446" s="59" t="str">
        <f>IF(A446,-SUMIFS(Historic!$G:$G,Historic!$A:$A,"&lt;" &amp; $A446,Historic!$B:$B,"=" &amp; $B446,Historic!$F:$F,"&lt;&gt;0"),"")</f>
        <v/>
      </c>
      <c r="G446" s="9" t="str">
        <f t="shared" si="1"/>
        <v/>
      </c>
    </row>
    <row r="447">
      <c r="E447" t="str">
        <f>IF(A447,SUMIFS(Historic!$E:$E,Historic!$A:$A,"&lt;" &amp; $A447,Historic!$B:$B,"=" &amp; $B447),"")</f>
        <v/>
      </c>
      <c r="F447" s="59" t="str">
        <f>IF(A447,-SUMIFS(Historic!$G:$G,Historic!$A:$A,"&lt;" &amp; $A447,Historic!$B:$B,"=" &amp; $B447,Historic!$F:$F,"&lt;&gt;0"),"")</f>
        <v/>
      </c>
      <c r="G447" s="9" t="str">
        <f t="shared" si="1"/>
        <v/>
      </c>
    </row>
    <row r="448">
      <c r="E448" t="str">
        <f>IF(A448,SUMIFS(Historic!$E:$E,Historic!$A:$A,"&lt;" &amp; $A448,Historic!$B:$B,"=" &amp; $B448),"")</f>
        <v/>
      </c>
      <c r="F448" s="59" t="str">
        <f>IF(A448,-SUMIFS(Historic!$G:$G,Historic!$A:$A,"&lt;" &amp; $A448,Historic!$B:$B,"=" &amp; $B448,Historic!$F:$F,"&lt;&gt;0"),"")</f>
        <v/>
      </c>
      <c r="G448" s="9" t="str">
        <f t="shared" si="1"/>
        <v/>
      </c>
    </row>
    <row r="449">
      <c r="E449" t="str">
        <f>IF(A449,SUMIFS(Historic!$E:$E,Historic!$A:$A,"&lt;" &amp; $A449,Historic!$B:$B,"=" &amp; $B449),"")</f>
        <v/>
      </c>
      <c r="F449" s="59" t="str">
        <f>IF(A449,-SUMIFS(Historic!$G:$G,Historic!$A:$A,"&lt;" &amp; $A449,Historic!$B:$B,"=" &amp; $B449,Historic!$F:$F,"&lt;&gt;0"),"")</f>
        <v/>
      </c>
      <c r="G449" s="9" t="str">
        <f t="shared" si="1"/>
        <v/>
      </c>
    </row>
    <row r="450">
      <c r="E450" t="str">
        <f>IF(A450,SUMIFS(Historic!$E:$E,Historic!$A:$A,"&lt;" &amp; $A450,Historic!$B:$B,"=" &amp; $B450),"")</f>
        <v/>
      </c>
      <c r="F450" s="59" t="str">
        <f>IF(A450,-SUMIFS(Historic!$G:$G,Historic!$A:$A,"&lt;" &amp; $A450,Historic!$B:$B,"=" &amp; $B450,Historic!$F:$F,"&lt;&gt;0"),"")</f>
        <v/>
      </c>
      <c r="G450" s="9" t="str">
        <f t="shared" si="1"/>
        <v/>
      </c>
    </row>
    <row r="451">
      <c r="E451" t="str">
        <f>IF(A451,SUMIFS(Historic!$E:$E,Historic!$A:$A,"&lt;" &amp; $A451,Historic!$B:$B,"=" &amp; $B451),"")</f>
        <v/>
      </c>
      <c r="F451" s="59" t="str">
        <f>IF(A451,-SUMIFS(Historic!$G:$G,Historic!$A:$A,"&lt;" &amp; $A451,Historic!$B:$B,"=" &amp; $B451,Historic!$F:$F,"&lt;&gt;0"),"")</f>
        <v/>
      </c>
      <c r="G451" s="9" t="str">
        <f t="shared" si="1"/>
        <v/>
      </c>
    </row>
    <row r="452">
      <c r="E452" t="str">
        <f>IF(A452,SUMIFS(Historic!$E:$E,Historic!$A:$A,"&lt;" &amp; $A452,Historic!$B:$B,"=" &amp; $B452),"")</f>
        <v/>
      </c>
      <c r="F452" s="59" t="str">
        <f>IF(A452,-SUMIFS(Historic!$G:$G,Historic!$A:$A,"&lt;" &amp; $A452,Historic!$B:$B,"=" &amp; $B452,Historic!$F:$F,"&lt;&gt;0"),"")</f>
        <v/>
      </c>
      <c r="G452" s="9" t="str">
        <f t="shared" si="1"/>
        <v/>
      </c>
    </row>
    <row r="453">
      <c r="E453" t="str">
        <f>IF(A453,SUMIFS(Historic!$E:$E,Historic!$A:$A,"&lt;" &amp; $A453,Historic!$B:$B,"=" &amp; $B453),"")</f>
        <v/>
      </c>
      <c r="F453" s="59" t="str">
        <f>IF(A453,-SUMIFS(Historic!$G:$G,Historic!$A:$A,"&lt;" &amp; $A453,Historic!$B:$B,"=" &amp; $B453,Historic!$F:$F,"&lt;&gt;0"),"")</f>
        <v/>
      </c>
      <c r="G453" s="9" t="str">
        <f t="shared" si="1"/>
        <v/>
      </c>
    </row>
    <row r="454">
      <c r="E454" t="str">
        <f>IF(A454,SUMIFS(Historic!$E:$E,Historic!$A:$A,"&lt;" &amp; $A454,Historic!$B:$B,"=" &amp; $B454),"")</f>
        <v/>
      </c>
      <c r="F454" s="59" t="str">
        <f>IF(A454,-SUMIFS(Historic!$G:$G,Historic!$A:$A,"&lt;" &amp; $A454,Historic!$B:$B,"=" &amp; $B454,Historic!$F:$F,"&lt;&gt;0"),"")</f>
        <v/>
      </c>
      <c r="G454" s="9" t="str">
        <f t="shared" si="1"/>
        <v/>
      </c>
    </row>
    <row r="455">
      <c r="E455" t="str">
        <f>IF(A455,SUMIFS(Historic!$E:$E,Historic!$A:$A,"&lt;" &amp; $A455,Historic!$B:$B,"=" &amp; $B455),"")</f>
        <v/>
      </c>
      <c r="F455" s="59" t="str">
        <f>IF(A455,-SUMIFS(Historic!$G:$G,Historic!$A:$A,"&lt;" &amp; $A455,Historic!$B:$B,"=" &amp; $B455,Historic!$F:$F,"&lt;&gt;0"),"")</f>
        <v/>
      </c>
      <c r="G455" s="9" t="str">
        <f t="shared" si="1"/>
        <v/>
      </c>
    </row>
    <row r="456">
      <c r="E456" t="str">
        <f>IF(A456,SUMIFS(Historic!$E:$E,Historic!$A:$A,"&lt;" &amp; $A456,Historic!$B:$B,"=" &amp; $B456),"")</f>
        <v/>
      </c>
      <c r="F456" s="59" t="str">
        <f>IF(A456,-SUMIFS(Historic!$G:$G,Historic!$A:$A,"&lt;" &amp; $A456,Historic!$B:$B,"=" &amp; $B456,Historic!$F:$F,"&lt;&gt;0"),"")</f>
        <v/>
      </c>
      <c r="G456" s="9" t="str">
        <f t="shared" si="1"/>
        <v/>
      </c>
    </row>
    <row r="457">
      <c r="E457" t="str">
        <f>IF(A457,SUMIFS(Historic!$E:$E,Historic!$A:$A,"&lt;" &amp; $A457,Historic!$B:$B,"=" &amp; $B457),"")</f>
        <v/>
      </c>
      <c r="F457" s="59" t="str">
        <f>IF(A457,-SUMIFS(Historic!$G:$G,Historic!$A:$A,"&lt;" &amp; $A457,Historic!$B:$B,"=" &amp; $B457,Historic!$F:$F,"&lt;&gt;0"),"")</f>
        <v/>
      </c>
      <c r="G457" s="9" t="str">
        <f t="shared" si="1"/>
        <v/>
      </c>
    </row>
    <row r="458">
      <c r="E458" t="str">
        <f>IF(A458,SUMIFS(Historic!$E:$E,Historic!$A:$A,"&lt;" &amp; $A458,Historic!$B:$B,"=" &amp; $B458),"")</f>
        <v/>
      </c>
      <c r="F458" s="59" t="str">
        <f>IF(A458,-SUMIFS(Historic!$G:$G,Historic!$A:$A,"&lt;" &amp; $A458,Historic!$B:$B,"=" &amp; $B458,Historic!$F:$F,"&lt;&gt;0"),"")</f>
        <v/>
      </c>
      <c r="G458" s="9" t="str">
        <f t="shared" si="1"/>
        <v/>
      </c>
    </row>
    <row r="459">
      <c r="E459" t="str">
        <f>IF(A459,SUMIFS(Historic!$E:$E,Historic!$A:$A,"&lt;" &amp; $A459,Historic!$B:$B,"=" &amp; $B459),"")</f>
        <v/>
      </c>
      <c r="F459" s="59" t="str">
        <f>IF(A459,-SUMIFS(Historic!$G:$G,Historic!$A:$A,"&lt;" &amp; $A459,Historic!$B:$B,"=" &amp; $B459,Historic!$F:$F,"&lt;&gt;0"),"")</f>
        <v/>
      </c>
      <c r="G459" s="9" t="str">
        <f t="shared" si="1"/>
        <v/>
      </c>
    </row>
    <row r="460">
      <c r="E460" t="str">
        <f>IF(A460,SUMIFS(Historic!$E:$E,Historic!$A:$A,"&lt;" &amp; $A460,Historic!$B:$B,"=" &amp; $B460),"")</f>
        <v/>
      </c>
      <c r="F460" s="59" t="str">
        <f>IF(A460,-SUMIFS(Historic!$G:$G,Historic!$A:$A,"&lt;" &amp; $A460,Historic!$B:$B,"=" &amp; $B460,Historic!$F:$F,"&lt;&gt;0"),"")</f>
        <v/>
      </c>
      <c r="G460" s="9" t="str">
        <f t="shared" si="1"/>
        <v/>
      </c>
    </row>
    <row r="461">
      <c r="E461" t="str">
        <f>IF(A461,SUMIFS(Historic!$E:$E,Historic!$A:$A,"&lt;" &amp; $A461,Historic!$B:$B,"=" &amp; $B461),"")</f>
        <v/>
      </c>
      <c r="F461" s="59" t="str">
        <f>IF(A461,-SUMIFS(Historic!$G:$G,Historic!$A:$A,"&lt;" &amp; $A461,Historic!$B:$B,"=" &amp; $B461,Historic!$F:$F,"&lt;&gt;0"),"")</f>
        <v/>
      </c>
      <c r="G461" s="9" t="str">
        <f t="shared" si="1"/>
        <v/>
      </c>
    </row>
    <row r="462">
      <c r="E462" t="str">
        <f>IF(A462,SUMIFS(Historic!$E:$E,Historic!$A:$A,"&lt;" &amp; $A462,Historic!$B:$B,"=" &amp; $B462),"")</f>
        <v/>
      </c>
      <c r="F462" s="59" t="str">
        <f>IF(A462,-SUMIFS(Historic!$G:$G,Historic!$A:$A,"&lt;" &amp; $A462,Historic!$B:$B,"=" &amp; $B462,Historic!$F:$F,"&lt;&gt;0"),"")</f>
        <v/>
      </c>
      <c r="G462" s="9" t="str">
        <f t="shared" si="1"/>
        <v/>
      </c>
    </row>
    <row r="463">
      <c r="E463" t="str">
        <f>IF(A463,SUMIFS(Historic!$E:$E,Historic!$A:$A,"&lt;" &amp; $A463,Historic!$B:$B,"=" &amp; $B463),"")</f>
        <v/>
      </c>
      <c r="F463" s="59" t="str">
        <f>IF(A463,-SUMIFS(Historic!$G:$G,Historic!$A:$A,"&lt;" &amp; $A463,Historic!$B:$B,"=" &amp; $B463,Historic!$F:$F,"&lt;&gt;0"),"")</f>
        <v/>
      </c>
      <c r="G463" s="9" t="str">
        <f t="shared" si="1"/>
        <v/>
      </c>
    </row>
    <row r="464">
      <c r="E464" t="str">
        <f>IF(A464,SUMIFS(Historic!$E:$E,Historic!$A:$A,"&lt;" &amp; $A464,Historic!$B:$B,"=" &amp; $B464),"")</f>
        <v/>
      </c>
      <c r="F464" s="59" t="str">
        <f>IF(A464,-SUMIFS(Historic!$G:$G,Historic!$A:$A,"&lt;" &amp; $A464,Historic!$B:$B,"=" &amp; $B464,Historic!$F:$F,"&lt;&gt;0"),"")</f>
        <v/>
      </c>
      <c r="G464" s="9" t="str">
        <f t="shared" si="1"/>
        <v/>
      </c>
    </row>
    <row r="465">
      <c r="E465" t="str">
        <f>IF(A465,SUMIFS(Historic!$E:$E,Historic!$A:$A,"&lt;" &amp; $A465,Historic!$B:$B,"=" &amp; $B465),"")</f>
        <v/>
      </c>
      <c r="F465" s="59" t="str">
        <f>IF(A465,-SUMIFS(Historic!$G:$G,Historic!$A:$A,"&lt;" &amp; $A465,Historic!$B:$B,"=" &amp; $B465,Historic!$F:$F,"&lt;&gt;0"),"")</f>
        <v/>
      </c>
      <c r="G465" s="9" t="str">
        <f t="shared" si="1"/>
        <v/>
      </c>
    </row>
    <row r="466">
      <c r="E466" t="str">
        <f>IF(A466,SUMIFS(Historic!$E:$E,Historic!$A:$A,"&lt;" &amp; $A466,Historic!$B:$B,"=" &amp; $B466),"")</f>
        <v/>
      </c>
      <c r="F466" s="59" t="str">
        <f>IF(A466,-SUMIFS(Historic!$G:$G,Historic!$A:$A,"&lt;" &amp; $A466,Historic!$B:$B,"=" &amp; $B466,Historic!$F:$F,"&lt;&gt;0"),"")</f>
        <v/>
      </c>
      <c r="G466" s="9" t="str">
        <f t="shared" si="1"/>
        <v/>
      </c>
    </row>
    <row r="467">
      <c r="E467" t="str">
        <f>IF(A467,SUMIFS(Historic!$E:$E,Historic!$A:$A,"&lt;" &amp; $A467,Historic!$B:$B,"=" &amp; $B467),"")</f>
        <v/>
      </c>
      <c r="F467" s="59" t="str">
        <f>IF(A467,-SUMIFS(Historic!$G:$G,Historic!$A:$A,"&lt;" &amp; $A467,Historic!$B:$B,"=" &amp; $B467,Historic!$F:$F,"&lt;&gt;0"),"")</f>
        <v/>
      </c>
      <c r="G467" s="9" t="str">
        <f t="shared" si="1"/>
        <v/>
      </c>
    </row>
    <row r="468">
      <c r="E468" t="str">
        <f>IF(A468,SUMIFS(Historic!$E:$E,Historic!$A:$A,"&lt;" &amp; $A468,Historic!$B:$B,"=" &amp; $B468),"")</f>
        <v/>
      </c>
      <c r="F468" s="59" t="str">
        <f>IF(A468,-SUMIFS(Historic!$G:$G,Historic!$A:$A,"&lt;" &amp; $A468,Historic!$B:$B,"=" &amp; $B468,Historic!$F:$F,"&lt;&gt;0"),"")</f>
        <v/>
      </c>
      <c r="G468" s="9" t="str">
        <f t="shared" si="1"/>
        <v/>
      </c>
    </row>
    <row r="469">
      <c r="E469" t="str">
        <f>IF(A469,SUMIFS(Historic!$E:$E,Historic!$A:$A,"&lt;" &amp; $A469,Historic!$B:$B,"=" &amp; $B469),"")</f>
        <v/>
      </c>
      <c r="F469" s="59" t="str">
        <f>IF(A469,-SUMIFS(Historic!$G:$G,Historic!$A:$A,"&lt;" &amp; $A469,Historic!$B:$B,"=" &amp; $B469,Historic!$F:$F,"&lt;&gt;0"),"")</f>
        <v/>
      </c>
      <c r="G469" s="9" t="str">
        <f t="shared" si="1"/>
        <v/>
      </c>
    </row>
    <row r="470">
      <c r="E470" t="str">
        <f>IF(A470,SUMIFS(Historic!$E:$E,Historic!$A:$A,"&lt;" &amp; $A470,Historic!$B:$B,"=" &amp; $B470),"")</f>
        <v/>
      </c>
      <c r="F470" s="59" t="str">
        <f>IF(A470,-SUMIFS(Historic!$G:$G,Historic!$A:$A,"&lt;" &amp; $A470,Historic!$B:$B,"=" &amp; $B470,Historic!$F:$F,"&lt;&gt;0"),"")</f>
        <v/>
      </c>
      <c r="G470" s="9" t="str">
        <f t="shared" si="1"/>
        <v/>
      </c>
    </row>
    <row r="471">
      <c r="E471" t="str">
        <f>IF(A471,SUMIFS(Historic!$E:$E,Historic!$A:$A,"&lt;" &amp; $A471,Historic!$B:$B,"=" &amp; $B471),"")</f>
        <v/>
      </c>
      <c r="F471" s="59" t="str">
        <f>IF(A471,-SUMIFS(Historic!$G:$G,Historic!$A:$A,"&lt;" &amp; $A471,Historic!$B:$B,"=" &amp; $B471,Historic!$F:$F,"&lt;&gt;0"),"")</f>
        <v/>
      </c>
      <c r="G471" s="9" t="str">
        <f t="shared" si="1"/>
        <v/>
      </c>
    </row>
    <row r="472">
      <c r="E472" t="str">
        <f>IF(A472,SUMIFS(Historic!$E:$E,Historic!$A:$A,"&lt;" &amp; $A472,Historic!$B:$B,"=" &amp; $B472),"")</f>
        <v/>
      </c>
      <c r="F472" s="59" t="str">
        <f>IF(A472,-SUMIFS(Historic!$G:$G,Historic!$A:$A,"&lt;" &amp; $A472,Historic!$B:$B,"=" &amp; $B472,Historic!$F:$F,"&lt;&gt;0"),"")</f>
        <v/>
      </c>
      <c r="G472" s="9" t="str">
        <f t="shared" si="1"/>
        <v/>
      </c>
    </row>
    <row r="473">
      <c r="E473" t="str">
        <f>IF(A473,SUMIFS(Historic!$E:$E,Historic!$A:$A,"&lt;" &amp; $A473,Historic!$B:$B,"=" &amp; $B473),"")</f>
        <v/>
      </c>
      <c r="F473" s="59" t="str">
        <f>IF(A473,-SUMIFS(Historic!$G:$G,Historic!$A:$A,"&lt;" &amp; $A473,Historic!$B:$B,"=" &amp; $B473,Historic!$F:$F,"&lt;&gt;0"),"")</f>
        <v/>
      </c>
      <c r="G473" s="9" t="str">
        <f t="shared" si="1"/>
        <v/>
      </c>
    </row>
    <row r="474">
      <c r="E474" t="str">
        <f>IF(A474,SUMIFS(Historic!$E:$E,Historic!$A:$A,"&lt;" &amp; $A474,Historic!$B:$B,"=" &amp; $B474),"")</f>
        <v/>
      </c>
      <c r="F474" s="59" t="str">
        <f>IF(A474,-SUMIFS(Historic!$G:$G,Historic!$A:$A,"&lt;" &amp; $A474,Historic!$B:$B,"=" &amp; $B474,Historic!$F:$F,"&lt;&gt;0"),"")</f>
        <v/>
      </c>
      <c r="G474" s="9" t="str">
        <f t="shared" si="1"/>
        <v/>
      </c>
    </row>
    <row r="475">
      <c r="E475" t="str">
        <f>IF(A475,SUMIFS(Historic!$E:$E,Historic!$A:$A,"&lt;" &amp; $A475,Historic!$B:$B,"=" &amp; $B475),"")</f>
        <v/>
      </c>
      <c r="F475" s="59" t="str">
        <f>IF(A475,-SUMIFS(Historic!$G:$G,Historic!$A:$A,"&lt;" &amp; $A475,Historic!$B:$B,"=" &amp; $B475,Historic!$F:$F,"&lt;&gt;0"),"")</f>
        <v/>
      </c>
      <c r="G475" s="9" t="str">
        <f t="shared" si="1"/>
        <v/>
      </c>
    </row>
    <row r="476">
      <c r="E476" t="str">
        <f>IF(A476,SUMIFS(Historic!$E:$E,Historic!$A:$A,"&lt;" &amp; $A476,Historic!$B:$B,"=" &amp; $B476),"")</f>
        <v/>
      </c>
      <c r="F476" s="59" t="str">
        <f>IF(A476,-SUMIFS(Historic!$G:$G,Historic!$A:$A,"&lt;" &amp; $A476,Historic!$B:$B,"=" &amp; $B476,Historic!$F:$F,"&lt;&gt;0"),"")</f>
        <v/>
      </c>
      <c r="G476" s="9" t="str">
        <f t="shared" si="1"/>
        <v/>
      </c>
    </row>
    <row r="477">
      <c r="E477" t="str">
        <f>IF(A477,SUMIFS(Historic!$E:$E,Historic!$A:$A,"&lt;" &amp; $A477,Historic!$B:$B,"=" &amp; $B477),"")</f>
        <v/>
      </c>
      <c r="F477" s="59" t="str">
        <f>IF(A477,-SUMIFS(Historic!$G:$G,Historic!$A:$A,"&lt;" &amp; $A477,Historic!$B:$B,"=" &amp; $B477,Historic!$F:$F,"&lt;&gt;0"),"")</f>
        <v/>
      </c>
      <c r="G477" s="9" t="str">
        <f t="shared" si="1"/>
        <v/>
      </c>
    </row>
    <row r="478">
      <c r="E478" t="str">
        <f>IF(A478,SUMIFS(Historic!$E:$E,Historic!$A:$A,"&lt;" &amp; $A478,Historic!$B:$B,"=" &amp; $B478),"")</f>
        <v/>
      </c>
      <c r="F478" s="59" t="str">
        <f>IF(A478,-SUMIFS(Historic!$G:$G,Historic!$A:$A,"&lt;" &amp; $A478,Historic!$B:$B,"=" &amp; $B478,Historic!$F:$F,"&lt;&gt;0"),"")</f>
        <v/>
      </c>
      <c r="G478" s="9" t="str">
        <f t="shared" si="1"/>
        <v/>
      </c>
    </row>
    <row r="479">
      <c r="E479" t="str">
        <f>IF(A479,SUMIFS(Historic!$E:$E,Historic!$A:$A,"&lt;" &amp; $A479,Historic!$B:$B,"=" &amp; $B479),"")</f>
        <v/>
      </c>
      <c r="F479" s="59" t="str">
        <f>IF(A479,-SUMIFS(Historic!$G:$G,Historic!$A:$A,"&lt;" &amp; $A479,Historic!$B:$B,"=" &amp; $B479,Historic!$F:$F,"&lt;&gt;0"),"")</f>
        <v/>
      </c>
      <c r="G479" s="9" t="str">
        <f t="shared" si="1"/>
        <v/>
      </c>
    </row>
    <row r="480">
      <c r="E480" t="str">
        <f>IF(A480,SUMIFS(Historic!$E:$E,Historic!$A:$A,"&lt;" &amp; $A480,Historic!$B:$B,"=" &amp; $B480),"")</f>
        <v/>
      </c>
      <c r="F480" s="59" t="str">
        <f>IF(A480,-SUMIFS(Historic!$G:$G,Historic!$A:$A,"&lt;" &amp; $A480,Historic!$B:$B,"=" &amp; $B480,Historic!$F:$F,"&lt;&gt;0"),"")</f>
        <v/>
      </c>
      <c r="G480" s="9" t="str">
        <f t="shared" si="1"/>
        <v/>
      </c>
    </row>
    <row r="481">
      <c r="E481" t="str">
        <f>IF(A481,SUMIFS(Historic!$E:$E,Historic!$A:$A,"&lt;" &amp; $A481,Historic!$B:$B,"=" &amp; $B481),"")</f>
        <v/>
      </c>
      <c r="F481" s="59" t="str">
        <f>IF(A481,-SUMIFS(Historic!$G:$G,Historic!$A:$A,"&lt;" &amp; $A481,Historic!$B:$B,"=" &amp; $B481,Historic!$F:$F,"&lt;&gt;0"),"")</f>
        <v/>
      </c>
      <c r="G481" s="9" t="str">
        <f t="shared" si="1"/>
        <v/>
      </c>
    </row>
    <row r="482">
      <c r="E482" t="str">
        <f>IF(A482,SUMIFS(Historic!$E:$E,Historic!$A:$A,"&lt;" &amp; $A482,Historic!$B:$B,"=" &amp; $B482),"")</f>
        <v/>
      </c>
      <c r="F482" s="59" t="str">
        <f>IF(A482,-SUMIFS(Historic!$G:$G,Historic!$A:$A,"&lt;" &amp; $A482,Historic!$B:$B,"=" &amp; $B482,Historic!$F:$F,"&lt;&gt;0"),"")</f>
        <v/>
      </c>
      <c r="G482" s="9" t="str">
        <f t="shared" si="1"/>
        <v/>
      </c>
    </row>
    <row r="483">
      <c r="E483" t="str">
        <f>IF(A483,SUMIFS(Historic!$E:$E,Historic!$A:$A,"&lt;" &amp; $A483,Historic!$B:$B,"=" &amp; $B483),"")</f>
        <v/>
      </c>
      <c r="F483" s="59" t="str">
        <f>IF(A483,-SUMIFS(Historic!$G:$G,Historic!$A:$A,"&lt;" &amp; $A483,Historic!$B:$B,"=" &amp; $B483,Historic!$F:$F,"&lt;&gt;0"),"")</f>
        <v/>
      </c>
      <c r="G483" s="9" t="str">
        <f t="shared" si="1"/>
        <v/>
      </c>
    </row>
    <row r="484">
      <c r="E484" t="str">
        <f>IF(A484,SUMIFS(Historic!$E:$E,Historic!$A:$A,"&lt;" &amp; $A484,Historic!$B:$B,"=" &amp; $B484),"")</f>
        <v/>
      </c>
      <c r="F484" s="59" t="str">
        <f>IF(A484,-SUMIFS(Historic!$G:$G,Historic!$A:$A,"&lt;" &amp; $A484,Historic!$B:$B,"=" &amp; $B484,Historic!$F:$F,"&lt;&gt;0"),"")</f>
        <v/>
      </c>
      <c r="G484" s="9" t="str">
        <f t="shared" si="1"/>
        <v/>
      </c>
    </row>
    <row r="485">
      <c r="E485" t="str">
        <f>IF(A485,SUMIFS(Historic!$E:$E,Historic!$A:$A,"&lt;" &amp; $A485,Historic!$B:$B,"=" &amp; $B485),"")</f>
        <v/>
      </c>
      <c r="F485" s="59" t="str">
        <f>IF(A485,-SUMIFS(Historic!$G:$G,Historic!$A:$A,"&lt;" &amp; $A485,Historic!$B:$B,"=" &amp; $B485,Historic!$F:$F,"&lt;&gt;0"),"")</f>
        <v/>
      </c>
      <c r="G485" s="9" t="str">
        <f t="shared" si="1"/>
        <v/>
      </c>
    </row>
    <row r="486">
      <c r="E486" t="str">
        <f>IF(A486,SUMIFS(Historic!$E:$E,Historic!$A:$A,"&lt;" &amp; $A486,Historic!$B:$B,"=" &amp; $B486),"")</f>
        <v/>
      </c>
      <c r="F486" s="59" t="str">
        <f>IF(A486,-SUMIFS(Historic!$G:$G,Historic!$A:$A,"&lt;" &amp; $A486,Historic!$B:$B,"=" &amp; $B486,Historic!$F:$F,"&lt;&gt;0"),"")</f>
        <v/>
      </c>
      <c r="G486" s="9" t="str">
        <f t="shared" si="1"/>
        <v/>
      </c>
    </row>
    <row r="487">
      <c r="E487" t="str">
        <f>IF(A487,SUMIFS(Historic!$E:$E,Historic!$A:$A,"&lt;" &amp; $A487,Historic!$B:$B,"=" &amp; $B487),"")</f>
        <v/>
      </c>
      <c r="F487" s="59" t="str">
        <f>IF(A487,-SUMIFS(Historic!$G:$G,Historic!$A:$A,"&lt;" &amp; $A487,Historic!$B:$B,"=" &amp; $B487,Historic!$F:$F,"&lt;&gt;0"),"")</f>
        <v/>
      </c>
      <c r="G487" s="9" t="str">
        <f t="shared" si="1"/>
        <v/>
      </c>
    </row>
    <row r="488">
      <c r="E488" t="str">
        <f>IF(A488,SUMIFS(Historic!$E:$E,Historic!$A:$A,"&lt;" &amp; $A488,Historic!$B:$B,"=" &amp; $B488),"")</f>
        <v/>
      </c>
      <c r="F488" s="59" t="str">
        <f>IF(A488,-SUMIFS(Historic!$G:$G,Historic!$A:$A,"&lt;" &amp; $A488,Historic!$B:$B,"=" &amp; $B488,Historic!$F:$F,"&lt;&gt;0"),"")</f>
        <v/>
      </c>
      <c r="G488" s="9" t="str">
        <f t="shared" si="1"/>
        <v/>
      </c>
    </row>
    <row r="489">
      <c r="E489" t="str">
        <f>IF(A489,SUMIFS(Historic!$E:$E,Historic!$A:$A,"&lt;" &amp; $A489,Historic!$B:$B,"=" &amp; $B489),"")</f>
        <v/>
      </c>
      <c r="F489" s="59" t="str">
        <f>IF(A489,-SUMIFS(Historic!$G:$G,Historic!$A:$A,"&lt;" &amp; $A489,Historic!$B:$B,"=" &amp; $B489,Historic!$F:$F,"&lt;&gt;0"),"")</f>
        <v/>
      </c>
      <c r="G489" s="9" t="str">
        <f t="shared" si="1"/>
        <v/>
      </c>
    </row>
    <row r="490">
      <c r="E490" t="str">
        <f>IF(A490,SUMIFS(Historic!$E:$E,Historic!$A:$A,"&lt;" &amp; $A490,Historic!$B:$B,"=" &amp; $B490),"")</f>
        <v/>
      </c>
      <c r="F490" s="59" t="str">
        <f>IF(A490,-SUMIFS(Historic!$G:$G,Historic!$A:$A,"&lt;" &amp; $A490,Historic!$B:$B,"=" &amp; $B490,Historic!$F:$F,"&lt;&gt;0"),"")</f>
        <v/>
      </c>
      <c r="G490" s="9" t="str">
        <f t="shared" si="1"/>
        <v/>
      </c>
    </row>
    <row r="491">
      <c r="E491" t="str">
        <f>IF(A491,SUMIFS(Historic!$E:$E,Historic!$A:$A,"&lt;" &amp; $A491,Historic!$B:$B,"=" &amp; $B491),"")</f>
        <v/>
      </c>
      <c r="F491" s="59" t="str">
        <f>IF(A491,-SUMIFS(Historic!$G:$G,Historic!$A:$A,"&lt;" &amp; $A491,Historic!$B:$B,"=" &amp; $B491,Historic!$F:$F,"&lt;&gt;0"),"")</f>
        <v/>
      </c>
      <c r="G491" s="9" t="str">
        <f t="shared" si="1"/>
        <v/>
      </c>
    </row>
    <row r="492">
      <c r="E492" t="str">
        <f>IF(A492,SUMIFS(Historic!$E:$E,Historic!$A:$A,"&lt;" &amp; $A492,Historic!$B:$B,"=" &amp; $B492),"")</f>
        <v/>
      </c>
      <c r="F492" s="59" t="str">
        <f>IF(A492,-SUMIFS(Historic!$G:$G,Historic!$A:$A,"&lt;" &amp; $A492,Historic!$B:$B,"=" &amp; $B492,Historic!$F:$F,"&lt;&gt;0"),"")</f>
        <v/>
      </c>
      <c r="G492" s="9" t="str">
        <f t="shared" si="1"/>
        <v/>
      </c>
    </row>
    <row r="493">
      <c r="E493" t="str">
        <f>IF(A493,SUMIFS(Historic!$E:$E,Historic!$A:$A,"&lt;" &amp; $A493,Historic!$B:$B,"=" &amp; $B493),"")</f>
        <v/>
      </c>
      <c r="F493" s="59" t="str">
        <f>IF(A493,-SUMIFS(Historic!$G:$G,Historic!$A:$A,"&lt;" &amp; $A493,Historic!$B:$B,"=" &amp; $B493,Historic!$F:$F,"&lt;&gt;0"),"")</f>
        <v/>
      </c>
      <c r="G493" s="9" t="str">
        <f t="shared" si="1"/>
        <v/>
      </c>
    </row>
    <row r="494">
      <c r="E494" t="str">
        <f>IF(A494,SUMIFS(Historic!$E:$E,Historic!$A:$A,"&lt;" &amp; $A494,Historic!$B:$B,"=" &amp; $B494),"")</f>
        <v/>
      </c>
      <c r="F494" s="59" t="str">
        <f>IF(A494,-SUMIFS(Historic!$G:$G,Historic!$A:$A,"&lt;" &amp; $A494,Historic!$B:$B,"=" &amp; $B494,Historic!$F:$F,"&lt;&gt;0"),"")</f>
        <v/>
      </c>
      <c r="G494" s="9" t="str">
        <f t="shared" si="1"/>
        <v/>
      </c>
    </row>
    <row r="495">
      <c r="E495" t="str">
        <f>IF(A495,SUMIFS(Historic!$E:$E,Historic!$A:$A,"&lt;" &amp; $A495,Historic!$B:$B,"=" &amp; $B495),"")</f>
        <v/>
      </c>
      <c r="F495" s="59" t="str">
        <f>IF(A495,-SUMIFS(Historic!$G:$G,Historic!$A:$A,"&lt;" &amp; $A495,Historic!$B:$B,"=" &amp; $B495,Historic!$F:$F,"&lt;&gt;0"),"")</f>
        <v/>
      </c>
      <c r="G495" s="9" t="str">
        <f t="shared" si="1"/>
        <v/>
      </c>
    </row>
    <row r="496">
      <c r="E496" t="str">
        <f>IF(A496,SUMIFS(Historic!$E:$E,Historic!$A:$A,"&lt;" &amp; $A496,Historic!$B:$B,"=" &amp; $B496),"")</f>
        <v/>
      </c>
      <c r="F496" s="59" t="str">
        <f>IF(A496,-SUMIFS(Historic!$G:$G,Historic!$A:$A,"&lt;" &amp; $A496,Historic!$B:$B,"=" &amp; $B496,Historic!$F:$F,"&lt;&gt;0"),"")</f>
        <v/>
      </c>
      <c r="G496" s="9" t="str">
        <f t="shared" si="1"/>
        <v/>
      </c>
    </row>
    <row r="497">
      <c r="E497" t="str">
        <f>IF(A497,SUMIFS(Historic!$E:$E,Historic!$A:$A,"&lt;" &amp; $A497,Historic!$B:$B,"=" &amp; $B497),"")</f>
        <v/>
      </c>
      <c r="F497" s="59" t="str">
        <f>IF(A497,-SUMIFS(Historic!$G:$G,Historic!$A:$A,"&lt;" &amp; $A497,Historic!$B:$B,"=" &amp; $B497,Historic!$F:$F,"&lt;&gt;0"),"")</f>
        <v/>
      </c>
      <c r="G497" s="9" t="str">
        <f t="shared" si="1"/>
        <v/>
      </c>
    </row>
    <row r="498">
      <c r="E498" t="str">
        <f>IF(A498,SUMIFS(Historic!$E:$E,Historic!$A:$A,"&lt;" &amp; $A498,Historic!$B:$B,"=" &amp; $B498),"")</f>
        <v/>
      </c>
      <c r="F498" s="59" t="str">
        <f>IF(A498,-SUMIFS(Historic!$G:$G,Historic!$A:$A,"&lt;" &amp; $A498,Historic!$B:$B,"=" &amp; $B498,Historic!$F:$F,"&lt;&gt;0"),"")</f>
        <v/>
      </c>
      <c r="G498" s="9" t="str">
        <f t="shared" si="1"/>
        <v/>
      </c>
    </row>
    <row r="499">
      <c r="E499" t="str">
        <f>IF(A499,SUMIFS(Historic!$E:$E,Historic!$A:$A,"&lt;" &amp; $A499,Historic!$B:$B,"=" &amp; $B499),"")</f>
        <v/>
      </c>
      <c r="F499" s="59" t="str">
        <f>IF(A499,-SUMIFS(Historic!$G:$G,Historic!$A:$A,"&lt;" &amp; $A499,Historic!$B:$B,"=" &amp; $B499,Historic!$F:$F,"&lt;&gt;0"),"")</f>
        <v/>
      </c>
      <c r="G499" s="9" t="str">
        <f t="shared" si="1"/>
        <v/>
      </c>
    </row>
    <row r="500">
      <c r="E500" t="str">
        <f>IF(A500,SUMIFS(Historic!$E:$E,Historic!$A:$A,"&lt;" &amp; $A500,Historic!$B:$B,"=" &amp; $B500),"")</f>
        <v/>
      </c>
      <c r="F500" s="59" t="str">
        <f>IF(A500,-SUMIFS(Historic!$G:$G,Historic!$A:$A,"&lt;" &amp; $A500,Historic!$B:$B,"=" &amp; $B500,Historic!$F:$F,"&lt;&gt;0"),"")</f>
        <v/>
      </c>
      <c r="G500" s="9" t="str">
        <f t="shared" si="1"/>
        <v/>
      </c>
    </row>
    <row r="501">
      <c r="E501" t="str">
        <f>IF(A501,SUMIFS(Historic!$E:$E,Historic!$A:$A,"&lt;" &amp; $A501,Historic!$B:$B,"=" &amp; $B501),"")</f>
        <v/>
      </c>
      <c r="F501" s="59" t="str">
        <f>IF(A501,-SUMIFS(Historic!$G:$G,Historic!$A:$A,"&lt;" &amp; $A501,Historic!$B:$B,"=" &amp; $B501,Historic!$F:$F,"&lt;&gt;0"),"")</f>
        <v/>
      </c>
      <c r="G501" s="9" t="str">
        <f t="shared" si="1"/>
        <v/>
      </c>
    </row>
    <row r="502">
      <c r="E502" t="str">
        <f>IF(A502,SUMIFS(Historic!$E:$E,Historic!$A:$A,"&lt;" &amp; $A502,Historic!$B:$B,"=" &amp; $B502),"")</f>
        <v/>
      </c>
      <c r="F502" s="59" t="str">
        <f>IF(A502,-SUMIFS(Historic!$G:$G,Historic!$A:$A,"&lt;" &amp; $A502,Historic!$B:$B,"=" &amp; $B502,Historic!$F:$F,"&lt;&gt;0"),"")</f>
        <v/>
      </c>
      <c r="G502" s="9" t="str">
        <f t="shared" si="1"/>
        <v/>
      </c>
    </row>
    <row r="503">
      <c r="E503" t="str">
        <f>IF(A503,SUMIFS(Historic!$E:$E,Historic!$A:$A,"&lt;" &amp; $A503,Historic!$B:$B,"=" &amp; $B503),"")</f>
        <v/>
      </c>
      <c r="F503" s="59" t="str">
        <f>IF(A503,-SUMIFS(Historic!$G:$G,Historic!$A:$A,"&lt;" &amp; $A503,Historic!$B:$B,"=" &amp; $B503,Historic!$F:$F,"&lt;&gt;0"),"")</f>
        <v/>
      </c>
      <c r="G503" s="9" t="str">
        <f t="shared" si="1"/>
        <v/>
      </c>
    </row>
    <row r="504">
      <c r="E504" t="str">
        <f>IF(A504,SUMIFS(Historic!$E:$E,Historic!$A:$A,"&lt;" &amp; $A504,Historic!$B:$B,"=" &amp; $B504),"")</f>
        <v/>
      </c>
      <c r="F504" s="59" t="str">
        <f>IF(A504,-SUMIFS(Historic!$G:$G,Historic!$A:$A,"&lt;" &amp; $A504,Historic!$B:$B,"=" &amp; $B504,Historic!$F:$F,"&lt;&gt;0"),"")</f>
        <v/>
      </c>
      <c r="G504" s="9" t="str">
        <f t="shared" si="1"/>
        <v/>
      </c>
    </row>
    <row r="505">
      <c r="E505" t="str">
        <f>IF(A505,SUMIFS(Historic!$E:$E,Historic!$A:$A,"&lt;" &amp; $A505,Historic!$B:$B,"=" &amp; $B505),"")</f>
        <v/>
      </c>
      <c r="F505" s="59" t="str">
        <f>IF(A505,-SUMIFS(Historic!$G:$G,Historic!$A:$A,"&lt;" &amp; $A505,Historic!$B:$B,"=" &amp; $B505,Historic!$F:$F,"&lt;&gt;0"),"")</f>
        <v/>
      </c>
      <c r="G505" s="9" t="str">
        <f t="shared" si="1"/>
        <v/>
      </c>
    </row>
    <row r="506">
      <c r="E506" t="str">
        <f>IF(A506,SUMIFS(Historic!$E:$E,Historic!$A:$A,"&lt;" &amp; $A506,Historic!$B:$B,"=" &amp; $B506),"")</f>
        <v/>
      </c>
      <c r="F506" s="59" t="str">
        <f>IF(A506,-SUMIFS(Historic!$G:$G,Historic!$A:$A,"&lt;" &amp; $A506,Historic!$B:$B,"=" &amp; $B506,Historic!$F:$F,"&lt;&gt;0"),"")</f>
        <v/>
      </c>
      <c r="G506" s="9" t="str">
        <f t="shared" si="1"/>
        <v/>
      </c>
    </row>
    <row r="507">
      <c r="E507" t="str">
        <f>IF(A507,SUMIFS(Historic!$E:$E,Historic!$A:$A,"&lt;" &amp; $A507,Historic!$B:$B,"=" &amp; $B507),"")</f>
        <v/>
      </c>
      <c r="F507" s="59" t="str">
        <f>IF(A507,-SUMIFS(Historic!$G:$G,Historic!$A:$A,"&lt;" &amp; $A507,Historic!$B:$B,"=" &amp; $B507,Historic!$F:$F,"&lt;&gt;0"),"")</f>
        <v/>
      </c>
      <c r="G507" s="9" t="str">
        <f t="shared" si="1"/>
        <v/>
      </c>
    </row>
    <row r="508">
      <c r="E508" t="str">
        <f>IF(A508,SUMIFS(Historic!$E:$E,Historic!$A:$A,"&lt;" &amp; $A508,Historic!$B:$B,"=" &amp; $B508),"")</f>
        <v/>
      </c>
      <c r="F508" s="59" t="str">
        <f>IF(A508,-SUMIFS(Historic!$G:$G,Historic!$A:$A,"&lt;" &amp; $A508,Historic!$B:$B,"=" &amp; $B508,Historic!$F:$F,"&lt;&gt;0"),"")</f>
        <v/>
      </c>
      <c r="G508" s="9" t="str">
        <f t="shared" si="1"/>
        <v/>
      </c>
    </row>
    <row r="509">
      <c r="E509" t="str">
        <f>IF(A509,SUMIFS(Historic!$E:$E,Historic!$A:$A,"&lt;" &amp; $A509,Historic!$B:$B,"=" &amp; $B509),"")</f>
        <v/>
      </c>
      <c r="F509" s="59" t="str">
        <f>IF(A509,-SUMIFS(Historic!$G:$G,Historic!$A:$A,"&lt;" &amp; $A509,Historic!$B:$B,"=" &amp; $B509,Historic!$F:$F,"&lt;&gt;0"),"")</f>
        <v/>
      </c>
      <c r="G509" s="9" t="str">
        <f t="shared" si="1"/>
        <v/>
      </c>
    </row>
    <row r="510">
      <c r="E510" t="str">
        <f>IF(A510,SUMIFS(Historic!$E:$E,Historic!$A:$A,"&lt;" &amp; $A510,Historic!$B:$B,"=" &amp; $B510),"")</f>
        <v/>
      </c>
      <c r="F510" s="59" t="str">
        <f>IF(A510,-SUMIFS(Historic!$G:$G,Historic!$A:$A,"&lt;" &amp; $A510,Historic!$B:$B,"=" &amp; $B510,Historic!$F:$F,"&lt;&gt;0"),"")</f>
        <v/>
      </c>
      <c r="G510" s="9" t="str">
        <f t="shared" si="1"/>
        <v/>
      </c>
    </row>
    <row r="511">
      <c r="E511" t="str">
        <f>IF(A511,SUMIFS(Historic!$E:$E,Historic!$A:$A,"&lt;" &amp; $A511,Historic!$B:$B,"=" &amp; $B511),"")</f>
        <v/>
      </c>
      <c r="F511" s="59" t="str">
        <f>IF(A511,-SUMIFS(Historic!$G:$G,Historic!$A:$A,"&lt;" &amp; $A511,Historic!$B:$B,"=" &amp; $B511,Historic!$F:$F,"&lt;&gt;0"),"")</f>
        <v/>
      </c>
      <c r="G511" s="9" t="str">
        <f t="shared" si="1"/>
        <v/>
      </c>
    </row>
    <row r="512">
      <c r="E512" t="str">
        <f>IF(A512,SUMIFS(Historic!$E:$E,Historic!$A:$A,"&lt;" &amp; $A512,Historic!$B:$B,"=" &amp; $B512),"")</f>
        <v/>
      </c>
      <c r="F512" s="59" t="str">
        <f>IF(A512,-SUMIFS(Historic!$G:$G,Historic!$A:$A,"&lt;" &amp; $A512,Historic!$B:$B,"=" &amp; $B512,Historic!$F:$F,"&lt;&gt;0"),"")</f>
        <v/>
      </c>
      <c r="G512" s="9" t="str">
        <f t="shared" si="1"/>
        <v/>
      </c>
    </row>
    <row r="513">
      <c r="E513" t="str">
        <f>IF(A513,SUMIFS(Historic!$E:$E,Historic!$A:$A,"&lt;" &amp; $A513,Historic!$B:$B,"=" &amp; $B513),"")</f>
        <v/>
      </c>
      <c r="F513" s="59" t="str">
        <f>IF(A513,-SUMIFS(Historic!$G:$G,Historic!$A:$A,"&lt;" &amp; $A513,Historic!$B:$B,"=" &amp; $B513,Historic!$F:$F,"&lt;&gt;0"),"")</f>
        <v/>
      </c>
      <c r="G513" s="9" t="str">
        <f t="shared" si="1"/>
        <v/>
      </c>
    </row>
    <row r="514">
      <c r="E514" t="str">
        <f>IF(A514,SUMIFS(Historic!$E:$E,Historic!$A:$A,"&lt;" &amp; $A514,Historic!$B:$B,"=" &amp; $B514),"")</f>
        <v/>
      </c>
      <c r="F514" s="59" t="str">
        <f>IF(A514,-SUMIFS(Historic!$G:$G,Historic!$A:$A,"&lt;" &amp; $A514,Historic!$B:$B,"=" &amp; $B514,Historic!$F:$F,"&lt;&gt;0"),"")</f>
        <v/>
      </c>
      <c r="G514" s="9" t="str">
        <f t="shared" si="1"/>
        <v/>
      </c>
    </row>
    <row r="515">
      <c r="E515" t="str">
        <f>IF(A515,SUMIFS(Historic!$E:$E,Historic!$A:$A,"&lt;" &amp; $A515,Historic!$B:$B,"=" &amp; $B515),"")</f>
        <v/>
      </c>
      <c r="F515" s="59" t="str">
        <f>IF(A515,-SUMIFS(Historic!$G:$G,Historic!$A:$A,"&lt;" &amp; $A515,Historic!$B:$B,"=" &amp; $B515,Historic!$F:$F,"&lt;&gt;0"),"")</f>
        <v/>
      </c>
      <c r="G515" s="9" t="str">
        <f t="shared" si="1"/>
        <v/>
      </c>
    </row>
    <row r="516">
      <c r="E516" t="str">
        <f>IF(A516,SUMIFS(Historic!$E:$E,Historic!$A:$A,"&lt;" &amp; $A516,Historic!$B:$B,"=" &amp; $B516),"")</f>
        <v/>
      </c>
      <c r="F516" s="59" t="str">
        <f>IF(A516,-SUMIFS(Historic!$G:$G,Historic!$A:$A,"&lt;" &amp; $A516,Historic!$B:$B,"=" &amp; $B516,Historic!$F:$F,"&lt;&gt;0"),"")</f>
        <v/>
      </c>
      <c r="G516" s="9" t="str">
        <f t="shared" si="1"/>
        <v/>
      </c>
    </row>
    <row r="517">
      <c r="E517" t="str">
        <f>IF(A517,SUMIFS(Historic!$E:$E,Historic!$A:$A,"&lt;" &amp; $A517,Historic!$B:$B,"=" &amp; $B517),"")</f>
        <v/>
      </c>
      <c r="F517" s="59" t="str">
        <f>IF(A517,-SUMIFS(Historic!$G:$G,Historic!$A:$A,"&lt;" &amp; $A517,Historic!$B:$B,"=" &amp; $B517,Historic!$F:$F,"&lt;&gt;0"),"")</f>
        <v/>
      </c>
      <c r="G517" s="9" t="str">
        <f t="shared" si="1"/>
        <v/>
      </c>
    </row>
    <row r="518">
      <c r="E518" t="str">
        <f>IF(A518,SUMIFS(Historic!$E:$E,Historic!$A:$A,"&lt;" &amp; $A518,Historic!$B:$B,"=" &amp; $B518),"")</f>
        <v/>
      </c>
      <c r="F518" s="59" t="str">
        <f>IF(A518,-SUMIFS(Historic!$G:$G,Historic!$A:$A,"&lt;" &amp; $A518,Historic!$B:$B,"=" &amp; $B518,Historic!$F:$F,"&lt;&gt;0"),"")</f>
        <v/>
      </c>
      <c r="G518" s="9" t="str">
        <f t="shared" si="1"/>
        <v/>
      </c>
    </row>
    <row r="519">
      <c r="E519" t="str">
        <f>IF(A519,SUMIFS(Historic!$E:$E,Historic!$A:$A,"&lt;" &amp; $A519,Historic!$B:$B,"=" &amp; $B519),"")</f>
        <v/>
      </c>
      <c r="F519" s="59" t="str">
        <f>IF(A519,-SUMIFS(Historic!$G:$G,Historic!$A:$A,"&lt;" &amp; $A519,Historic!$B:$B,"=" &amp; $B519,Historic!$F:$F,"&lt;&gt;0"),"")</f>
        <v/>
      </c>
      <c r="G519" s="9" t="str">
        <f t="shared" si="1"/>
        <v/>
      </c>
    </row>
    <row r="520">
      <c r="E520" t="str">
        <f>IF(A520,SUMIFS(Historic!$E:$E,Historic!$A:$A,"&lt;" &amp; $A520,Historic!$B:$B,"=" &amp; $B520),"")</f>
        <v/>
      </c>
      <c r="F520" s="59" t="str">
        <f>IF(A520,-SUMIFS(Historic!$G:$G,Historic!$A:$A,"&lt;" &amp; $A520,Historic!$B:$B,"=" &amp; $B520,Historic!$F:$F,"&lt;&gt;0"),"")</f>
        <v/>
      </c>
      <c r="G520" s="9" t="str">
        <f t="shared" si="1"/>
        <v/>
      </c>
    </row>
    <row r="521">
      <c r="E521" t="str">
        <f>IF(A521,SUMIFS(Historic!$E:$E,Historic!$A:$A,"&lt;" &amp; $A521,Historic!$B:$B,"=" &amp; $B521),"")</f>
        <v/>
      </c>
      <c r="F521" s="59" t="str">
        <f>IF(A521,-SUMIFS(Historic!$G:$G,Historic!$A:$A,"&lt;" &amp; $A521,Historic!$B:$B,"=" &amp; $B521,Historic!$F:$F,"&lt;&gt;0"),"")</f>
        <v/>
      </c>
      <c r="G521" s="9" t="str">
        <f t="shared" si="1"/>
        <v/>
      </c>
    </row>
    <row r="522">
      <c r="E522" t="str">
        <f>IF(A522,SUMIFS(Historic!$E:$E,Historic!$A:$A,"&lt;" &amp; $A522,Historic!$B:$B,"=" &amp; $B522),"")</f>
        <v/>
      </c>
      <c r="F522" s="59" t="str">
        <f>IF(A522,-SUMIFS(Historic!$G:$G,Historic!$A:$A,"&lt;" &amp; $A522,Historic!$B:$B,"=" &amp; $B522,Historic!$F:$F,"&lt;&gt;0"),"")</f>
        <v/>
      </c>
      <c r="G522" s="9" t="str">
        <f t="shared" si="1"/>
        <v/>
      </c>
    </row>
    <row r="523">
      <c r="E523" t="str">
        <f>IF(A523,SUMIFS(Historic!$E:$E,Historic!$A:$A,"&lt;" &amp; $A523,Historic!$B:$B,"=" &amp; $B523),"")</f>
        <v/>
      </c>
      <c r="F523" s="59" t="str">
        <f>IF(A523,-SUMIFS(Historic!$G:$G,Historic!$A:$A,"&lt;" &amp; $A523,Historic!$B:$B,"=" &amp; $B523,Historic!$F:$F,"&lt;&gt;0"),"")</f>
        <v/>
      </c>
      <c r="G523" s="9" t="str">
        <f t="shared" si="1"/>
        <v/>
      </c>
    </row>
    <row r="524">
      <c r="E524" t="str">
        <f>IF(A524,SUMIFS(Historic!$E:$E,Historic!$A:$A,"&lt;" &amp; $A524,Historic!$B:$B,"=" &amp; $B524),"")</f>
        <v/>
      </c>
      <c r="F524" s="59" t="str">
        <f>IF(A524,-SUMIFS(Historic!$G:$G,Historic!$A:$A,"&lt;" &amp; $A524,Historic!$B:$B,"=" &amp; $B524,Historic!$F:$F,"&lt;&gt;0"),"")</f>
        <v/>
      </c>
      <c r="G524" s="9" t="str">
        <f t="shared" si="1"/>
        <v/>
      </c>
    </row>
    <row r="525">
      <c r="E525" t="str">
        <f>IF(A525,SUMIFS(Historic!$E:$E,Historic!$A:$A,"&lt;" &amp; $A525,Historic!$B:$B,"=" &amp; $B525),"")</f>
        <v/>
      </c>
      <c r="F525" s="59" t="str">
        <f>IF(A525,-SUMIFS(Historic!$G:$G,Historic!$A:$A,"&lt;" &amp; $A525,Historic!$B:$B,"=" &amp; $B525,Historic!$F:$F,"&lt;&gt;0"),"")</f>
        <v/>
      </c>
      <c r="G525" s="9" t="str">
        <f t="shared" si="1"/>
        <v/>
      </c>
    </row>
    <row r="526">
      <c r="E526" t="str">
        <f>IF(A526,SUMIFS(Historic!$E:$E,Historic!$A:$A,"&lt;" &amp; $A526,Historic!$B:$B,"=" &amp; $B526),"")</f>
        <v/>
      </c>
      <c r="F526" s="59" t="str">
        <f>IF(A526,-SUMIFS(Historic!$G:$G,Historic!$A:$A,"&lt;" &amp; $A526,Historic!$B:$B,"=" &amp; $B526,Historic!$F:$F,"&lt;&gt;0"),"")</f>
        <v/>
      </c>
      <c r="G526" s="9" t="str">
        <f t="shared" si="1"/>
        <v/>
      </c>
    </row>
    <row r="527">
      <c r="E527" t="str">
        <f>IF(A527,SUMIFS(Historic!$E:$E,Historic!$A:$A,"&lt;" &amp; $A527,Historic!$B:$B,"=" &amp; $B527),"")</f>
        <v/>
      </c>
      <c r="F527" s="59" t="str">
        <f>IF(A527,-SUMIFS(Historic!$G:$G,Historic!$A:$A,"&lt;" &amp; $A527,Historic!$B:$B,"=" &amp; $B527,Historic!$F:$F,"&lt;&gt;0"),"")</f>
        <v/>
      </c>
      <c r="G527" s="9" t="str">
        <f t="shared" si="1"/>
        <v/>
      </c>
    </row>
    <row r="528">
      <c r="E528" t="str">
        <f>IF(A528,SUMIFS(Historic!$E:$E,Historic!$A:$A,"&lt;" &amp; $A528,Historic!$B:$B,"=" &amp; $B528),"")</f>
        <v/>
      </c>
      <c r="F528" s="59" t="str">
        <f>IF(A528,-SUMIFS(Historic!$G:$G,Historic!$A:$A,"&lt;" &amp; $A528,Historic!$B:$B,"=" &amp; $B528,Historic!$F:$F,"&lt;&gt;0"),"")</f>
        <v/>
      </c>
      <c r="G528" s="9" t="str">
        <f t="shared" si="1"/>
        <v/>
      </c>
    </row>
    <row r="529">
      <c r="E529" t="str">
        <f>IF(A529,SUMIFS(Historic!$E:$E,Historic!$A:$A,"&lt;" &amp; $A529,Historic!$B:$B,"=" &amp; $B529),"")</f>
        <v/>
      </c>
      <c r="F529" s="59" t="str">
        <f>IF(A529,-SUMIFS(Historic!$G:$G,Historic!$A:$A,"&lt;" &amp; $A529,Historic!$B:$B,"=" &amp; $B529,Historic!$F:$F,"&lt;&gt;0"),"")</f>
        <v/>
      </c>
      <c r="G529" s="9" t="str">
        <f t="shared" si="1"/>
        <v/>
      </c>
    </row>
    <row r="530">
      <c r="E530" t="str">
        <f>IF(A530,SUMIFS(Historic!$E:$E,Historic!$A:$A,"&lt;" &amp; $A530,Historic!$B:$B,"=" &amp; $B530),"")</f>
        <v/>
      </c>
      <c r="F530" s="59" t="str">
        <f>IF(A530,-SUMIFS(Historic!$G:$G,Historic!$A:$A,"&lt;" &amp; $A530,Historic!$B:$B,"=" &amp; $B530,Historic!$F:$F,"&lt;&gt;0"),"")</f>
        <v/>
      </c>
      <c r="G530" s="9" t="str">
        <f t="shared" si="1"/>
        <v/>
      </c>
    </row>
    <row r="531">
      <c r="E531" t="str">
        <f>IF(A531,SUMIFS(Historic!$E:$E,Historic!$A:$A,"&lt;" &amp; $A531,Historic!$B:$B,"=" &amp; $B531),"")</f>
        <v/>
      </c>
      <c r="F531" s="59" t="str">
        <f>IF(A531,-SUMIFS(Historic!$G:$G,Historic!$A:$A,"&lt;" &amp; $A531,Historic!$B:$B,"=" &amp; $B531,Historic!$F:$F,"&lt;&gt;0"),"")</f>
        <v/>
      </c>
      <c r="G531" s="9" t="str">
        <f t="shared" si="1"/>
        <v/>
      </c>
    </row>
    <row r="532">
      <c r="E532" t="str">
        <f>IF(A532,SUMIFS(Historic!$E:$E,Historic!$A:$A,"&lt;" &amp; $A532,Historic!$B:$B,"=" &amp; $B532),"")</f>
        <v/>
      </c>
      <c r="F532" s="59" t="str">
        <f>IF(A532,-SUMIFS(Historic!$G:$G,Historic!$A:$A,"&lt;" &amp; $A532,Historic!$B:$B,"=" &amp; $B532,Historic!$F:$F,"&lt;&gt;0"),"")</f>
        <v/>
      </c>
      <c r="G532" s="9" t="str">
        <f t="shared" si="1"/>
        <v/>
      </c>
    </row>
    <row r="533">
      <c r="E533" t="str">
        <f>IF(A533,SUMIFS(Historic!$E:$E,Historic!$A:$A,"&lt;" &amp; $A533,Historic!$B:$B,"=" &amp; $B533),"")</f>
        <v/>
      </c>
      <c r="F533" s="59" t="str">
        <f>IF(A533,-SUMIFS(Historic!$G:$G,Historic!$A:$A,"&lt;" &amp; $A533,Historic!$B:$B,"=" &amp; $B533,Historic!$F:$F,"&lt;&gt;0"),"")</f>
        <v/>
      </c>
      <c r="G533" s="9" t="str">
        <f t="shared" si="1"/>
        <v/>
      </c>
    </row>
    <row r="534">
      <c r="E534" t="str">
        <f>IF(A534,SUMIFS(Historic!$E:$E,Historic!$A:$A,"&lt;" &amp; $A534,Historic!$B:$B,"=" &amp; $B534),"")</f>
        <v/>
      </c>
      <c r="F534" s="59" t="str">
        <f>IF(A534,-SUMIFS(Historic!$G:$G,Historic!$A:$A,"&lt;" &amp; $A534,Historic!$B:$B,"=" &amp; $B534,Historic!$F:$F,"&lt;&gt;0"),"")</f>
        <v/>
      </c>
      <c r="G534" s="9" t="str">
        <f t="shared" si="1"/>
        <v/>
      </c>
    </row>
    <row r="535">
      <c r="E535" t="str">
        <f>IF(A535,SUMIFS(Historic!$E:$E,Historic!$A:$A,"&lt;" &amp; $A535,Historic!$B:$B,"=" &amp; $B535),"")</f>
        <v/>
      </c>
      <c r="F535" s="59" t="str">
        <f>IF(A535,-SUMIFS(Historic!$G:$G,Historic!$A:$A,"&lt;" &amp; $A535,Historic!$B:$B,"=" &amp; $B535,Historic!$F:$F,"&lt;&gt;0"),"")</f>
        <v/>
      </c>
      <c r="G535" s="9" t="str">
        <f t="shared" si="1"/>
        <v/>
      </c>
    </row>
    <row r="536">
      <c r="E536" t="str">
        <f>IF(A536,SUMIFS(Historic!$E:$E,Historic!$A:$A,"&lt;" &amp; $A536,Historic!$B:$B,"=" &amp; $B536),"")</f>
        <v/>
      </c>
      <c r="F536" s="59" t="str">
        <f>IF(A536,-SUMIFS(Historic!$G:$G,Historic!$A:$A,"&lt;" &amp; $A536,Historic!$B:$B,"=" &amp; $B536,Historic!$F:$F,"&lt;&gt;0"),"")</f>
        <v/>
      </c>
      <c r="G536" s="9" t="str">
        <f t="shared" si="1"/>
        <v/>
      </c>
    </row>
    <row r="537">
      <c r="E537" t="str">
        <f>IF(A537,SUMIFS(Historic!$E:$E,Historic!$A:$A,"&lt;" &amp; $A537,Historic!$B:$B,"=" &amp; $B537),"")</f>
        <v/>
      </c>
      <c r="F537" s="59" t="str">
        <f>IF(A537,-SUMIFS(Historic!$G:$G,Historic!$A:$A,"&lt;" &amp; $A537,Historic!$B:$B,"=" &amp; $B537,Historic!$F:$F,"&lt;&gt;0"),"")</f>
        <v/>
      </c>
      <c r="G537" s="9" t="str">
        <f t="shared" si="1"/>
        <v/>
      </c>
    </row>
    <row r="538">
      <c r="E538" t="str">
        <f>IF(A538,SUMIFS(Historic!$E:$E,Historic!$A:$A,"&lt;" &amp; $A538,Historic!$B:$B,"=" &amp; $B538),"")</f>
        <v/>
      </c>
      <c r="F538" s="59" t="str">
        <f>IF(A538,-SUMIFS(Historic!$G:$G,Historic!$A:$A,"&lt;" &amp; $A538,Historic!$B:$B,"=" &amp; $B538,Historic!$F:$F,"&lt;&gt;0"),"")</f>
        <v/>
      </c>
      <c r="G538" s="9" t="str">
        <f t="shared" si="1"/>
        <v/>
      </c>
    </row>
    <row r="539">
      <c r="E539" t="str">
        <f>IF(A539,SUMIFS(Historic!$E:$E,Historic!$A:$A,"&lt;" &amp; $A539,Historic!$B:$B,"=" &amp; $B539),"")</f>
        <v/>
      </c>
      <c r="F539" s="59" t="str">
        <f>IF(A539,-SUMIFS(Historic!$G:$G,Historic!$A:$A,"&lt;" &amp; $A539,Historic!$B:$B,"=" &amp; $B539,Historic!$F:$F,"&lt;&gt;0"),"")</f>
        <v/>
      </c>
      <c r="G539" s="9" t="str">
        <f t="shared" si="1"/>
        <v/>
      </c>
    </row>
    <row r="540">
      <c r="E540" t="str">
        <f>IF(A540,SUMIFS(Historic!$E:$E,Historic!$A:$A,"&lt;" &amp; $A540,Historic!$B:$B,"=" &amp; $B540),"")</f>
        <v/>
      </c>
      <c r="F540" s="59" t="str">
        <f>IF(A540,-SUMIFS(Historic!$G:$G,Historic!$A:$A,"&lt;" &amp; $A540,Historic!$B:$B,"=" &amp; $B540,Historic!$F:$F,"&lt;&gt;0"),"")</f>
        <v/>
      </c>
      <c r="G540" s="9" t="str">
        <f t="shared" si="1"/>
        <v/>
      </c>
    </row>
    <row r="541">
      <c r="E541" t="str">
        <f>IF(A541,SUMIFS(Historic!$E:$E,Historic!$A:$A,"&lt;" &amp; $A541,Historic!$B:$B,"=" &amp; $B541),"")</f>
        <v/>
      </c>
      <c r="F541" s="59" t="str">
        <f>IF(A541,-SUMIFS(Historic!$G:$G,Historic!$A:$A,"&lt;" &amp; $A541,Historic!$B:$B,"=" &amp; $B541,Historic!$F:$F,"&lt;&gt;0"),"")</f>
        <v/>
      </c>
      <c r="G541" s="9" t="str">
        <f t="shared" si="1"/>
        <v/>
      </c>
    </row>
    <row r="542">
      <c r="E542" t="str">
        <f>IF(A542,SUMIFS(Historic!$E:$E,Historic!$A:$A,"&lt;" &amp; $A542,Historic!$B:$B,"=" &amp; $B542),"")</f>
        <v/>
      </c>
      <c r="F542" s="59" t="str">
        <f>IF(A542,-SUMIFS(Historic!$G:$G,Historic!$A:$A,"&lt;" &amp; $A542,Historic!$B:$B,"=" &amp; $B542,Historic!$F:$F,"&lt;&gt;0"),"")</f>
        <v/>
      </c>
      <c r="G542" s="9" t="str">
        <f t="shared" si="1"/>
        <v/>
      </c>
    </row>
    <row r="543">
      <c r="E543" t="str">
        <f>IF(A543,SUMIFS(Historic!$E:$E,Historic!$A:$A,"&lt;" &amp; $A543,Historic!$B:$B,"=" &amp; $B543),"")</f>
        <v/>
      </c>
      <c r="F543" s="59" t="str">
        <f>IF(A543,-SUMIFS(Historic!$G:$G,Historic!$A:$A,"&lt;" &amp; $A543,Historic!$B:$B,"=" &amp; $B543,Historic!$F:$F,"&lt;&gt;0"),"")</f>
        <v/>
      </c>
      <c r="G543" s="9" t="str">
        <f t="shared" si="1"/>
        <v/>
      </c>
    </row>
    <row r="544">
      <c r="E544" t="str">
        <f>IF(A544,SUMIFS(Historic!$E:$E,Historic!$A:$A,"&lt;" &amp; $A544,Historic!$B:$B,"=" &amp; $B544),"")</f>
        <v/>
      </c>
      <c r="F544" s="59" t="str">
        <f>IF(A544,-SUMIFS(Historic!$G:$G,Historic!$A:$A,"&lt;" &amp; $A544,Historic!$B:$B,"=" &amp; $B544,Historic!$F:$F,"&lt;&gt;0"),"")</f>
        <v/>
      </c>
      <c r="G544" s="9" t="str">
        <f t="shared" si="1"/>
        <v/>
      </c>
    </row>
    <row r="545">
      <c r="E545" t="str">
        <f>IF(A545,SUMIFS(Historic!$E:$E,Historic!$A:$A,"&lt;" &amp; $A545,Historic!$B:$B,"=" &amp; $B545),"")</f>
        <v/>
      </c>
      <c r="F545" s="59" t="str">
        <f>IF(A545,-SUMIFS(Historic!$G:$G,Historic!$A:$A,"&lt;" &amp; $A545,Historic!$B:$B,"=" &amp; $B545,Historic!$F:$F,"&lt;&gt;0"),"")</f>
        <v/>
      </c>
      <c r="G545" s="9" t="str">
        <f t="shared" si="1"/>
        <v/>
      </c>
    </row>
    <row r="546">
      <c r="E546" t="str">
        <f>IF(A546,SUMIFS(Historic!$E:$E,Historic!$A:$A,"&lt;" &amp; $A546,Historic!$B:$B,"=" &amp; $B546),"")</f>
        <v/>
      </c>
      <c r="F546" s="59" t="str">
        <f>IF(A546,-SUMIFS(Historic!$G:$G,Historic!$A:$A,"&lt;" &amp; $A546,Historic!$B:$B,"=" &amp; $B546,Historic!$F:$F,"&lt;&gt;0"),"")</f>
        <v/>
      </c>
      <c r="G546" s="9" t="str">
        <f t="shared" si="1"/>
        <v/>
      </c>
    </row>
    <row r="547">
      <c r="E547" t="str">
        <f>IF(A547,SUMIFS(Historic!$E:$E,Historic!$A:$A,"&lt;" &amp; $A547,Historic!$B:$B,"=" &amp; $B547),"")</f>
        <v/>
      </c>
      <c r="F547" s="59" t="str">
        <f>IF(A547,-SUMIFS(Historic!$G:$G,Historic!$A:$A,"&lt;" &amp; $A547,Historic!$B:$B,"=" &amp; $B547,Historic!$F:$F,"&lt;&gt;0"),"")</f>
        <v/>
      </c>
      <c r="G547" s="9" t="str">
        <f t="shared" si="1"/>
        <v/>
      </c>
    </row>
    <row r="548">
      <c r="E548" t="str">
        <f>IF(A548,SUMIFS(Historic!$E:$E,Historic!$A:$A,"&lt;" &amp; $A548,Historic!$B:$B,"=" &amp; $B548),"")</f>
        <v/>
      </c>
      <c r="F548" s="59" t="str">
        <f>IF(A548,-SUMIFS(Historic!$G:$G,Historic!$A:$A,"&lt;" &amp; $A548,Historic!$B:$B,"=" &amp; $B548,Historic!$F:$F,"&lt;&gt;0"),"")</f>
        <v/>
      </c>
      <c r="G548" s="9" t="str">
        <f t="shared" si="1"/>
        <v/>
      </c>
    </row>
  </sheetData>
  <autoFilter ref="$A$1:$G$7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9.29"/>
    <col customWidth="1" min="2" max="2" width="27.14"/>
  </cols>
  <sheetData>
    <row r="1" ht="14.25" customHeight="1">
      <c r="A1" s="60" t="s">
        <v>161</v>
      </c>
      <c r="B1" s="61">
        <f>$B$6/$B$11</f>
        <v>-0.1368366758</v>
      </c>
    </row>
    <row r="2" ht="14.25" customHeight="1">
      <c r="A2" s="60" t="s">
        <v>162</v>
      </c>
      <c r="B2" s="62">
        <f>(B42+B19+B24)/(12*B10)</f>
        <v>2293.774494</v>
      </c>
    </row>
    <row r="3" ht="14.25" customHeight="1">
      <c r="A3" s="60" t="s">
        <v>163</v>
      </c>
      <c r="B3" s="62">
        <f t="array" ref="B3">INDEX(Expenses!B:B,ROWS(Expenses!B:B))</f>
        <v>437.5454255</v>
      </c>
    </row>
    <row r="4" ht="14.25" customHeight="1">
      <c r="A4" s="60" t="s">
        <v>164</v>
      </c>
      <c r="B4" s="63">
        <f>YEAR(TODAY()-B10*365.25)-1982+B$10+B$15/(B$2-B$3)/12</f>
        <v>37.54794647</v>
      </c>
    </row>
    <row r="5" ht="14.25" customHeight="1">
      <c r="A5" s="64" t="s">
        <v>165</v>
      </c>
      <c r="B5" s="65">
        <f>B$34+B$19+B$24</f>
        <v>202428.6521</v>
      </c>
    </row>
    <row r="6" ht="14.25" customHeight="1">
      <c r="A6" s="66" t="s">
        <v>168</v>
      </c>
      <c r="B6" s="67">
        <f>B34-B42</f>
        <v>-10991.286</v>
      </c>
    </row>
    <row r="7" ht="14.25" customHeight="1">
      <c r="A7" s="66" t="s">
        <v>169</v>
      </c>
      <c r="B7" s="68">
        <f>B6/B$11/B$10</f>
        <v>-0.01764816237</v>
      </c>
    </row>
    <row r="8" ht="14.25" customHeight="1">
      <c r="A8" s="66" t="s">
        <v>170</v>
      </c>
      <c r="B8" s="67">
        <f>SUMIF(Historic!D:D,"=DIVIDEND",Historic!G:G)</f>
        <v>16606.67</v>
      </c>
    </row>
    <row r="9" ht="14.25" customHeight="1">
      <c r="A9" s="66" t="s">
        <v>171</v>
      </c>
      <c r="B9" s="68">
        <f>B8/B$11/B$10</f>
        <v>0.02666450574</v>
      </c>
    </row>
    <row r="10" ht="14.25" hidden="1" customHeight="1">
      <c r="A10" s="66" t="s">
        <v>172</v>
      </c>
      <c r="B10" s="69">
        <f t="array" ref="B10">(TODAY()-INDEX(Historic!A:A, ROWS(Historic!A:A)))/365.25</f>
        <v>7.753593429</v>
      </c>
    </row>
    <row r="11" ht="14.25" customHeight="1">
      <c r="A11" s="66" t="s">
        <v>173</v>
      </c>
      <c r="B11" s="70">
        <f>AVERAGE(AllocationHistoric!B:B)</f>
        <v>80324.12316</v>
      </c>
    </row>
    <row r="12" ht="14.25" customHeight="1">
      <c r="A12" s="66" t="s">
        <v>172</v>
      </c>
      <c r="B12" s="71" t="str">
        <f>ROUNDUP(B10*12) &amp; " months (" &amp; ROUNDUP(B10,1) &amp;  " years)"</f>
        <v>94 months (7.8 years)</v>
      </c>
    </row>
    <row r="13" ht="14.25" customHeight="1">
      <c r="A13" s="66" t="s">
        <v>174</v>
      </c>
      <c r="B13" s="72" t="str">
        <f>ROUNDUP(B5/B3,0) &amp; " months (" &amp;ROUNDUP(B5/B3/12,1) &amp;  " years)"</f>
        <v>463 months (38.6 years)</v>
      </c>
    </row>
    <row r="14" ht="14.25" customHeight="1">
      <c r="A14" s="66" t="s">
        <v>175</v>
      </c>
      <c r="B14" s="72" t="str">
        <f>ROUNDUP(B15/(B2-B3),0) &amp; " months (" &amp;ROUNDUP(B15/(B2-B3)/12,1) &amp;  " years)"</f>
        <v>10 months (0.8 years)</v>
      </c>
    </row>
    <row r="15" ht="14.25" customHeight="1">
      <c r="A15" s="66" t="s">
        <v>179</v>
      </c>
      <c r="B15" s="67">
        <f>B$3*12/MIN(B$49,$B36)-B$5</f>
        <v>17694.01435</v>
      </c>
    </row>
    <row r="16" ht="14.25" customHeight="1">
      <c r="A16" s="73" t="s">
        <v>180</v>
      </c>
      <c r="B16" s="74">
        <f>B3/B2</f>
        <v>0.1907534619</v>
      </c>
    </row>
    <row r="17" ht="14.25" customHeight="1">
      <c r="A17" s="75" t="s">
        <v>181</v>
      </c>
      <c r="B17" s="76">
        <f t="array" ref="B17">INDEX(Expenses!B:B,2)</f>
        <v>0</v>
      </c>
    </row>
    <row r="18" ht="14.25" customHeight="1">
      <c r="A18" s="75" t="s">
        <v>182</v>
      </c>
      <c r="B18" s="76">
        <f>B$29-B$3</f>
        <v>237.2380541</v>
      </c>
    </row>
    <row r="19" ht="14.25" customHeight="1">
      <c r="A19" s="77" t="s">
        <v>183</v>
      </c>
      <c r="B19" s="78">
        <f>SUM(B$20:B$22)</f>
        <v>-26848.20188</v>
      </c>
    </row>
    <row r="20" ht="14.25" customHeight="1">
      <c r="A20" s="75" t="s">
        <v>184</v>
      </c>
      <c r="B20" s="79">
        <f>SUMIF(Budget!J:J,"&gt;0")</f>
        <v>11400</v>
      </c>
    </row>
    <row r="21" ht="14.25" customHeight="1">
      <c r="A21" s="75" t="s">
        <v>185</v>
      </c>
      <c r="B21" s="79">
        <f>SUMIF(Budget!J:J,"&lt;0")</f>
        <v>-23158.78</v>
      </c>
    </row>
    <row r="22" ht="14.25" customHeight="1">
      <c r="A22" s="75" t="s">
        <v>186</v>
      </c>
      <c r="B22" s="79">
        <f>SUM(Client!D:D)</f>
        <v>-15089.42188</v>
      </c>
    </row>
    <row r="23" ht="14.25" customHeight="1">
      <c r="A23" s="77" t="s">
        <v>187</v>
      </c>
      <c r="B23" s="78">
        <f>SUM(Budget!B:B)</f>
        <v>-426.17</v>
      </c>
    </row>
    <row r="24" ht="14.25" customHeight="1">
      <c r="A24" s="77" t="s">
        <v>188</v>
      </c>
      <c r="B24" s="78">
        <f>SUM(B25:B26)</f>
        <v>568.14</v>
      </c>
    </row>
    <row r="25" ht="14.25" customHeight="1">
      <c r="A25" s="75" t="s">
        <v>22</v>
      </c>
      <c r="B25" s="79">
        <v>511.12</v>
      </c>
    </row>
    <row r="26" ht="14.25" customHeight="1">
      <c r="A26" s="75" t="s">
        <v>193</v>
      </c>
      <c r="B26" s="79">
        <v>57.02</v>
      </c>
    </row>
    <row r="27" ht="14.25" customHeight="1">
      <c r="A27" s="77" t="s">
        <v>194</v>
      </c>
      <c r="B27" s="80">
        <f>$B$28/$B$44*1000</f>
        <v>3.030988049</v>
      </c>
    </row>
    <row r="28" ht="14.25" customHeight="1">
      <c r="A28" s="77" t="s">
        <v>195</v>
      </c>
      <c r="B28" s="80">
        <f t="array" ref="B28">INDEX(Investment!$AR:$AR,ROWS(Investment!$AR:$AR))+$B$54</f>
        <v>674.6429272</v>
      </c>
    </row>
    <row r="29" ht="14.25" customHeight="1">
      <c r="A29" s="81" t="s">
        <v>196</v>
      </c>
      <c r="B29" s="82">
        <f t="array" ref="B29">INDEX(AllocationHistoric!J:J,2)</f>
        <v>674.7834796</v>
      </c>
    </row>
    <row r="30" ht="14.25" hidden="1" customHeight="1">
      <c r="A30" s="83" t="s">
        <v>197</v>
      </c>
      <c r="B30" s="84">
        <f t="array" ref="B30">(TODAY()-INDEX(Evolution!A:A, ROWS(Evolution!A:A)))/365.25</f>
        <v>3.197809719</v>
      </c>
    </row>
    <row r="31" ht="14.25" customHeight="1">
      <c r="A31" s="85" t="s">
        <v>197</v>
      </c>
      <c r="B31" s="86" t="str">
        <f>ROUNDUP(B30*12) &amp; " months (" &amp; ROUNDUP(B30,1) &amp;  " years)"</f>
        <v>39 months (3.2 years)</v>
      </c>
    </row>
    <row r="32" ht="14.25" customHeight="1">
      <c r="A32" s="87" t="s">
        <v>198</v>
      </c>
      <c r="B32" s="88">
        <f t="array" ref="B32">INDEX(Investment!N:N,ROWS(Investment!N:N))</f>
        <v>735824.974</v>
      </c>
    </row>
    <row r="33" ht="14.25" customHeight="1">
      <c r="A33" s="87" t="s">
        <v>199</v>
      </c>
      <c r="B33" s="88">
        <f>SUMIFS(Historic!G:G,Historic!A:A,"&lt;=" &amp; TODAY())+SUMIFS(Historic!G:G,Historic!A:A,"=XXXXXX")</f>
        <v>-507116.26</v>
      </c>
    </row>
    <row r="34" ht="14.25" customHeight="1">
      <c r="A34" s="87" t="s">
        <v>200</v>
      </c>
      <c r="B34" s="88">
        <f>B32+B33</f>
        <v>228708.714</v>
      </c>
    </row>
    <row r="35" ht="14.25" customHeight="1">
      <c r="A35" s="87" t="s">
        <v>203</v>
      </c>
      <c r="B35" s="88">
        <f>$B$34-SUMIFS(Historic!G:G,Historic!A:A,"&gt;" &amp; DATE(2017,4,20),Historic!B:B,"")</f>
        <v>6126.864</v>
      </c>
    </row>
    <row r="36" ht="14.25" customHeight="1">
      <c r="A36" s="87" t="s">
        <v>204</v>
      </c>
      <c r="B36" s="89">
        <f>B35/B$11/B$30</f>
        <v>0.02385281439</v>
      </c>
    </row>
    <row r="37" ht="14.25" customHeight="1">
      <c r="A37" s="90" t="s">
        <v>205</v>
      </c>
      <c r="B37" s="91">
        <f>B35-B39-B41</f>
        <v>-2096.146</v>
      </c>
    </row>
    <row r="38" ht="14.25" customHeight="1">
      <c r="A38" s="90" t="s">
        <v>206</v>
      </c>
      <c r="B38" s="92">
        <f>B37/B$11/B$30</f>
        <v>-0.008160615524</v>
      </c>
    </row>
    <row r="39" ht="14.25" customHeight="1">
      <c r="A39" s="90" t="s">
        <v>207</v>
      </c>
      <c r="B39" s="91">
        <f>SUMIFS(Historic!G:G,Historic!D:D,"=DIVIDEND",Historic!B:B,"&lt;&gt;",Historic!A:A,"&lt;&gt;XXXXXX")</f>
        <v>13204.58</v>
      </c>
    </row>
    <row r="40" ht="14.25" customHeight="1">
      <c r="A40" s="93" t="s">
        <v>208</v>
      </c>
      <c r="B40" s="92">
        <f>B39/B$11/B$30</f>
        <v>0.05140744038</v>
      </c>
    </row>
    <row r="41" ht="14.25" customHeight="1">
      <c r="A41" s="93" t="s">
        <v>209</v>
      </c>
      <c r="B41" s="91">
        <f t="array" ref="B41">INDEX(Investment!AL:AL,ROWS(Investment!AL:AL))</f>
        <v>-4981.57</v>
      </c>
    </row>
    <row r="42" ht="14.25" customHeight="1">
      <c r="A42" s="94" t="s">
        <v>210</v>
      </c>
      <c r="B42" s="95">
        <f>SUMIF(Historic!D:D,"=APPROVISIONNEMENT",Historic!G:G)</f>
        <v>239700</v>
      </c>
    </row>
    <row r="43" ht="14.25" customHeight="1">
      <c r="A43" s="96" t="s">
        <v>211</v>
      </c>
      <c r="B43" s="97">
        <f>B44-B42</f>
        <v>-17118.15</v>
      </c>
    </row>
    <row r="44" ht="14.25" customHeight="1">
      <c r="A44" s="96" t="s">
        <v>213</v>
      </c>
      <c r="B44" s="97">
        <f>B34-B35</f>
        <v>222581.85</v>
      </c>
    </row>
    <row r="45" ht="14.25" customHeight="1">
      <c r="A45" s="96" t="s">
        <v>214</v>
      </c>
      <c r="B45" s="97">
        <f>Allocation!B12</f>
        <v>525000</v>
      </c>
    </row>
    <row r="46" ht="14.25" customHeight="1">
      <c r="A46" s="96" t="s">
        <v>10</v>
      </c>
      <c r="B46" s="97">
        <f>Allocation!B11</f>
        <v>7961.2218</v>
      </c>
    </row>
    <row r="47" ht="14.25" customHeight="1">
      <c r="A47" s="96" t="s">
        <v>215</v>
      </c>
      <c r="B47" s="98">
        <f>IF(Allocation!B14,Allocation!B14,Allocation!B13)</f>
        <v>526000</v>
      </c>
    </row>
    <row r="48" ht="14.25" customHeight="1">
      <c r="A48" s="96" t="s">
        <v>216</v>
      </c>
      <c r="B48" s="99">
        <f>B45/B34</f>
        <v>2.29549627</v>
      </c>
    </row>
    <row r="49" ht="14.25" customHeight="1">
      <c r="A49" s="96" t="s">
        <v>217</v>
      </c>
      <c r="B49" s="100">
        <f>(B39+B41)/B$11/B30</f>
        <v>0.03201342991</v>
      </c>
    </row>
    <row r="50" ht="14.25" customHeight="1">
      <c r="A50" s="96" t="s">
        <v>218</v>
      </c>
      <c r="B50" s="100">
        <f>(SUMIFS(Historic!G:G,Historic!D:D,"=DIVIDEND",Historic!B:B,"&lt;&gt;",Historic!A:A,"&gt;=" &amp; DATE(YEAR(TODAY())-1,MONTH(TODAY())+1,1))+SUMIFS(Historic!G:G,Historic!D:D,"=COST",Historic!B:B,"",Historic!A:A,"&gt;=" &amp; DATE(YEAR(TODAY())-1,MONTH(TODAY())+1,1)))/AVERAGE(OFFSET(AllocationHistoric!B$1,1,0,12,1))</f>
        <v>0.03846617175</v>
      </c>
    </row>
    <row r="51" ht="14.25" customHeight="1">
      <c r="A51" s="96" t="s">
        <v>221</v>
      </c>
      <c r="B51" s="100">
        <v>0.0075</v>
      </c>
    </row>
    <row r="52" ht="14.25" customHeight="1">
      <c r="A52" s="96" t="s">
        <v>222</v>
      </c>
      <c r="B52" s="100">
        <v>-0.00368</v>
      </c>
    </row>
    <row r="53" ht="14.25" customHeight="1">
      <c r="A53" s="96" t="s">
        <v>223</v>
      </c>
      <c r="B53" s="100">
        <f>IFERROR(__xludf.DUMMYFUNCTION("TO_PERCENT(MAX(iferror(B52,0),0)+0.0125)"),0.0125)</f>
        <v>0.0125</v>
      </c>
    </row>
    <row r="54" ht="14.25" customHeight="1">
      <c r="A54" s="96" t="s">
        <v>224</v>
      </c>
      <c r="B54" s="97">
        <f>MIN(Interest!J:J)</f>
        <v>-565.1041667</v>
      </c>
    </row>
    <row r="55" ht="14.25" customHeight="1">
      <c r="A55" s="96" t="s">
        <v>225</v>
      </c>
      <c r="B55" s="101">
        <f t="array" ref="B55">INDEX(Investment!BB:BB,ROWS(Investment!BB:BB))</f>
        <v>12109.76474</v>
      </c>
    </row>
    <row r="56" ht="14.25" customHeight="1">
      <c r="A56" s="96" t="s">
        <v>226</v>
      </c>
      <c r="B56" s="102">
        <f>COUNTIFS(Investment!V2:V6,"&lt;&gt;MID*",Investment!S2:S6,"&lt;&gt;0")</f>
        <v>0</v>
      </c>
    </row>
    <row r="57" ht="14.25" customHeight="1">
      <c r="A57" s="96" t="s">
        <v>8</v>
      </c>
      <c r="B57" s="101">
        <f t="array" ref="B57">INDEX(Investment!W:W,ROWS(Investment!W:W))</f>
        <v>1146.544054</v>
      </c>
    </row>
    <row r="58" ht="14.25" customHeight="1">
      <c r="A58" s="96" t="s">
        <v>227</v>
      </c>
      <c r="B58" s="102" t="str">
        <f t="array" ref="B58">INDEX(Investment!AG:AG,ROWS(Investment!AG:AG))</f>
        <v>23:32:12</v>
      </c>
    </row>
    <row r="59" ht="14.25" customHeight="1">
      <c r="A59" s="103" t="s">
        <v>228</v>
      </c>
      <c r="B59" s="104" t="s">
        <v>229</v>
      </c>
    </row>
  </sheetData>
  <conditionalFormatting sqref="B15">
    <cfRule type="cellIs" dxfId="2" priority="1" operator="greaterThan">
      <formula>0</formula>
    </cfRule>
  </conditionalFormatting>
  <conditionalFormatting sqref="B16">
    <cfRule type="cellIs" dxfId="3" priority="2" operator="greaterThan">
      <formula>0.2</formula>
    </cfRule>
  </conditionalFormatting>
  <conditionalFormatting sqref="B24:B26 B35:B40">
    <cfRule type="cellIs" dxfId="4" priority="3" operator="lessThan">
      <formula>0</formula>
    </cfRule>
  </conditionalFormatting>
  <conditionalFormatting sqref="B18">
    <cfRule type="cellIs" dxfId="3" priority="4" operator="lessThan">
      <formula>0</formula>
    </cfRule>
  </conditionalFormatting>
  <conditionalFormatting sqref="B17">
    <cfRule type="cellIs" dxfId="3" priority="5" operator="greaterThan">
      <formula>"B3"</formula>
    </cfRule>
  </conditionalFormatting>
  <conditionalFormatting sqref="B59">
    <cfRule type="cellIs" dxfId="4" priority="6" operator="greaterThanOrEqual">
      <formula>1</formula>
    </cfRule>
  </conditionalFormatting>
  <hyperlinks>
    <hyperlink r:id="rId2" ref="B59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4.43" defaultRowHeight="12.75"/>
  <cols>
    <col customWidth="1" hidden="1" min="1" max="2" width="8.57"/>
    <col customWidth="1" hidden="1" min="3" max="3" width="14.71"/>
    <col customWidth="1" min="4" max="4" width="29.71"/>
    <col customWidth="1" hidden="1" min="5" max="5" width="29.71"/>
    <col customWidth="1" hidden="1" min="6" max="6" width="13.57"/>
    <col customWidth="1" hidden="1" min="7" max="7" width="8.14"/>
    <col customWidth="1" hidden="1" min="8" max="8" width="6.86"/>
    <col customWidth="1" hidden="1" min="9" max="9" width="7.29"/>
    <col customWidth="1" min="10" max="10" width="10.14"/>
    <col customWidth="1" min="11" max="12" width="8.43"/>
    <col customWidth="1" min="13" max="15" width="12.0"/>
    <col customWidth="1" min="16" max="16" width="13.29"/>
    <col customWidth="1" min="17" max="17" width="5.43"/>
    <col customWidth="1" min="18" max="18" width="10.57"/>
    <col customWidth="1" min="19" max="19" width="11.57"/>
    <col customWidth="1" hidden="1" min="20" max="20" width="10.57"/>
    <col customWidth="1" hidden="1" min="21" max="21" width="9.71"/>
    <col customWidth="1" min="22" max="22" width="13.71"/>
    <col customWidth="1" min="23" max="23" width="11.14"/>
    <col customWidth="1" min="24" max="24" width="7.0"/>
    <col customWidth="1" min="25" max="25" width="9.86"/>
    <col customWidth="1" min="26" max="26" width="6.43"/>
    <col customWidth="1" min="27" max="27" width="11.57"/>
    <col customWidth="1" min="28" max="28" width="7.0"/>
    <col customWidth="1" min="29" max="29" width="11.0"/>
    <col customWidth="1" min="30" max="30" width="7.0"/>
    <col customWidth="1" min="31" max="31" width="6.29"/>
    <col customWidth="1" hidden="1" min="32" max="32" width="9.43"/>
    <col customWidth="1" min="33" max="33" width="8.86"/>
    <col customWidth="1" min="34" max="34" width="9.43"/>
    <col customWidth="1" min="35" max="35" width="10.86"/>
    <col customWidth="1" min="36" max="36" width="6.86"/>
    <col customWidth="1" min="37" max="37" width="6.43"/>
    <col customWidth="1" min="38" max="38" width="10.57"/>
    <col customWidth="1" min="39" max="40" width="10.43"/>
    <col customWidth="1" min="41" max="41" width="11.14"/>
    <col customWidth="1" min="42" max="42" width="10.57"/>
    <col customWidth="1" min="43" max="43" width="9.43"/>
    <col customWidth="1" min="44" max="44" width="11.29"/>
    <col customWidth="1" min="45" max="46" width="11.0"/>
    <col customWidth="1" min="47" max="47" width="14.29"/>
    <col customWidth="1" min="48" max="48" width="13.29"/>
    <col customWidth="1" min="49" max="50" width="8.43"/>
    <col customWidth="1" min="51" max="51" width="11.0"/>
    <col customWidth="1" min="52" max="52" width="13.71"/>
    <col customWidth="1" min="53" max="53" width="11.0"/>
    <col customWidth="1" min="54" max="54" width="10.57"/>
  </cols>
  <sheetData>
    <row r="1">
      <c r="A1" s="105" t="s">
        <v>236</v>
      </c>
      <c r="B1" s="105" t="s">
        <v>237</v>
      </c>
      <c r="C1" s="105" t="s">
        <v>238</v>
      </c>
      <c r="D1" s="105" t="s">
        <v>239</v>
      </c>
      <c r="E1" s="106" t="s">
        <v>36</v>
      </c>
      <c r="F1" s="105" t="s">
        <v>240</v>
      </c>
      <c r="G1" s="107" t="s">
        <v>241</v>
      </c>
      <c r="H1" s="105" t="s">
        <v>242</v>
      </c>
      <c r="I1" s="105" t="s">
        <v>243</v>
      </c>
      <c r="J1" s="108" t="s">
        <v>244</v>
      </c>
      <c r="K1" s="109" t="s">
        <v>49</v>
      </c>
      <c r="L1" s="109" t="s">
        <v>245</v>
      </c>
      <c r="M1" s="110" t="s">
        <v>246</v>
      </c>
      <c r="N1" s="110" t="s">
        <v>247</v>
      </c>
      <c r="O1" s="111" t="s">
        <v>248</v>
      </c>
      <c r="P1" s="3" t="s">
        <v>249</v>
      </c>
      <c r="Q1" s="3" t="s">
        <v>250</v>
      </c>
      <c r="R1" s="3" t="s">
        <v>251</v>
      </c>
      <c r="S1" s="3" t="s">
        <v>225</v>
      </c>
      <c r="T1" s="3" t="s">
        <v>252</v>
      </c>
      <c r="U1" s="112" t="s">
        <v>253</v>
      </c>
      <c r="V1" s="113" t="s">
        <v>253</v>
      </c>
      <c r="W1" s="114" t="s">
        <v>8</v>
      </c>
      <c r="X1" s="115" t="s">
        <v>18</v>
      </c>
      <c r="Y1" s="115" t="s">
        <v>85</v>
      </c>
      <c r="Z1" s="115" t="s">
        <v>18</v>
      </c>
      <c r="AA1" s="115" t="s">
        <v>254</v>
      </c>
      <c r="AB1" s="115" t="s">
        <v>18</v>
      </c>
      <c r="AC1" s="116" t="s">
        <v>255</v>
      </c>
      <c r="AD1" s="117" t="s">
        <v>18</v>
      </c>
      <c r="AE1" s="118" t="s">
        <v>241</v>
      </c>
      <c r="AF1" s="118" t="s">
        <v>258</v>
      </c>
      <c r="AG1" s="118" t="s">
        <v>259</v>
      </c>
      <c r="AH1" s="119" t="s">
        <v>260</v>
      </c>
      <c r="AI1" s="118" t="s">
        <v>261</v>
      </c>
      <c r="AJ1" s="118" t="s">
        <v>262</v>
      </c>
      <c r="AK1" s="118" t="s">
        <v>263</v>
      </c>
      <c r="AL1" s="120" t="s">
        <v>262</v>
      </c>
      <c r="AM1" s="118" t="s">
        <v>264</v>
      </c>
      <c r="AN1" s="118" t="s">
        <v>265</v>
      </c>
      <c r="AO1" s="121" t="s">
        <v>265</v>
      </c>
      <c r="AP1" s="119" t="s">
        <v>266</v>
      </c>
      <c r="AQ1" s="122" t="s">
        <v>267</v>
      </c>
      <c r="AR1" s="123" t="s">
        <v>268</v>
      </c>
      <c r="AS1" s="123" t="s">
        <v>269</v>
      </c>
      <c r="AT1" s="119" t="s">
        <v>270</v>
      </c>
      <c r="AU1" s="118" t="s">
        <v>271</v>
      </c>
      <c r="AV1" s="118" t="s">
        <v>272</v>
      </c>
      <c r="AW1" s="118" t="s">
        <v>18</v>
      </c>
      <c r="AX1" s="118" t="s">
        <v>273</v>
      </c>
      <c r="AY1" s="124" t="s">
        <v>274</v>
      </c>
      <c r="AZ1" s="124" t="s">
        <v>274</v>
      </c>
      <c r="BA1" s="124" t="s">
        <v>274</v>
      </c>
      <c r="BB1" s="124" t="s">
        <v>274</v>
      </c>
    </row>
    <row r="2">
      <c r="A2" s="10" t="s">
        <v>275</v>
      </c>
      <c r="B2" s="125" t="str">
        <f>IFERROR(__xludf.DUMMYFUNCTION("INDEX(Query(Selection!A:T,""SELECT A, MAX(T) WHERE G='""&amp; E2 &amp;""' GROUP BY A ORDER BY MAX(T) DESC LIMIT 1"",0),2,1)"),"EDV")</f>
        <v>EDV</v>
      </c>
      <c r="C2" s="126" t="str">
        <f>VLOOKUP($A2,Selection!$A:$G,5,false)</f>
        <v>IE00BSKRJZ44</v>
      </c>
      <c r="D2" s="127" t="str">
        <f>VLOOKUP($A2,Selection!$A:$G,6,false)</f>
        <v>iShares USD Treasury Bond 20+yr UCITS ETF</v>
      </c>
      <c r="E2" s="128" t="str">
        <f>VLOOKUP($A2,Selection!$A:$G,7,false)</f>
        <v>Long term US bonds (20-25 year)</v>
      </c>
      <c r="F2" s="129">
        <v>0.4</v>
      </c>
      <c r="G2" s="130">
        <f>MAXIFS(Selection!$Q:$Q,Selection!$A:$A,$A2)</f>
        <v>0.002</v>
      </c>
      <c r="H2" s="125" t="str">
        <f>VLOOKUP($A2,Selection!$A:$F,2,false)</f>
        <v>LON</v>
      </c>
      <c r="I2" s="125" t="str">
        <f>VLOOKUP($A2,Selection!$A:$F,3,false)</f>
        <v>LN</v>
      </c>
      <c r="J2" s="131">
        <f>SUMIFS(Historic!E:E,Historic!D:D,"&lt;&gt;DIVIDEND",Historic!C:C,"=" &amp; D2)</f>
        <v>72242</v>
      </c>
      <c r="K2" s="132">
        <f>IF(OR($I2="US",$I2="LN"),MAXIFS(Selection!$H:$H,Selection!$A:$A,$A2),"")</f>
        <v>4.5595</v>
      </c>
      <c r="L2" s="133">
        <f t="array" ref="L2">IF($K2,$K2/INDEX($K:$K,ROWS($K:$K)),MAXIFS(Selection!$H:$H,Selection!$A:$A,$A2))</f>
        <v>4.000965228</v>
      </c>
      <c r="M2" s="134">
        <f>-SUMIFS(Historic!G:G,Historic!D:D,"&lt;&gt;DIVIDEND",Historic!C:C,"=" &amp; D2)</f>
        <v>276194.53</v>
      </c>
      <c r="N2" s="135">
        <f t="shared" ref="N2:N6" si="2">L2*J2+$AF2</f>
        <v>289037.73</v>
      </c>
      <c r="O2" s="136">
        <f t="shared" ref="O2:O6" si="3">$O$7*$F2</f>
        <v>301496.5733</v>
      </c>
      <c r="P2" s="8">
        <f>-SUMIFS(Historic!G:G,Historic!C:C,"=" &amp; D2,Historic!E:E,"&lt;&gt;",Historic!A:A,"&gt;=" &amp; DATE(YEAR(TODAY()),MONTH(TODAY()),1),Historic!A:A,"&lt;=" &amp; EOMONTH(TODAY(),0))-SUMIFS(Historic!G:G,Historic!C:C,"=" &amp; D2,Historic!E:E,"&lt;&gt;",Historic!A:A,"XXXXXX")</f>
        <v>0</v>
      </c>
      <c r="Q2" s="137">
        <f t="shared" ref="Q2:Q6" si="4">RANK(AL2,AL$2:AL$6,-1)-1</f>
        <v>0</v>
      </c>
      <c r="R2" s="138">
        <f t="shared" ref="R2:R6" si="5">ROUNDDOWN(S2/$L2)</f>
        <v>2527</v>
      </c>
      <c r="S2" s="139">
        <f t="shared" ref="S2:S6" si="6">IF(AND(($O$7-$N$7)*$AJ2&lt;0,OR($U2*$AL2&gt;0,$U2*$AJ2&lt;0)),IF(ABS(ROUNDDOWN(($O2-$N2)/$L2)*$L2+$T2)&gt;=1000,ROUNDDOWN(($O2-$N2)/$L2)*$L2+$T2,0),IF(AND(ABS((-$U2-$AL2*5)*$M2)&gt;=1000,((-$U2-$AL2*5)*$M2)*($O$7-$N$7)&gt;0),(-$U2-$AL2*5)*$M2,0))</f>
        <v>10113.11819</v>
      </c>
      <c r="T2" s="140">
        <f t="shared" ref="T2:T6" si="7">ROUNDDOWN((INDEX($T:$T,ROWS($T:$T))-SUMIFS(T:T,Q:Q,"&lt;"&amp;Q2))/$L2)*$L2</f>
        <v>220.0530875</v>
      </c>
      <c r="U2" s="9">
        <f t="array" ref="U2">INDEX(Evolution!$N:$R,2,ROW()-1)</f>
        <v>-0.000654522548</v>
      </c>
      <c r="V2" s="9" t="str">
        <f t="array" ref="V2">IF(AND($S2&lt;&gt;0,OR($S2*$U2&lt;0,($O$7-$N$7)*$AJ2&lt;0)),IF(OR(AND(($O$7-$N$7)*$AJ2&lt;0,$O$7-$N$7&gt;0,$S2&gt;0),$U2&lt;AVERAGEIFS(INDEX(Evolution!$N:$R,0,ROW()-1),INDEX(Evolution!$N:$R,0,ROW()-1),"&lt;0",INDEX(Evolution!$N:$R,0,ROW()-1),"&gt;-0.03")*2),"BUY",IF(OR(AND(($O$7-$N$7)*$AJ2&lt;0,$O$7-$N$7&lt;0,$S2&lt;0),$U2&gt;AVERAGEIFS(INDEX(Evolution!$N:$R,0,ROW()-1),INDEX(Evolution!$N:$R,0,ROW()-1),"&gt;0",INDEX(Evolution!$N:$R,0,ROW()-1),"&lt;0.03")*2),"SELL","MID")),"MID") &amp; " (" &amp; ROUND($U2*100,2) &amp; "%)"</f>
        <v>MID (-0.07%)</v>
      </c>
      <c r="W2" s="136">
        <f t="shared" ref="W2:W6" si="8">($L2-IF($AH2,$AH2,$L2))*$J2</f>
        <v>-3328.101946</v>
      </c>
      <c r="X2" s="9">
        <f t="shared" ref="X2:X6" si="9">$L2/IF($AH2,$AH2,$L2)-1</f>
        <v>-0.01138334779</v>
      </c>
      <c r="Y2" s="8">
        <f>SUMIFS(Historic!G:G,Historic!D:D,"=DIVIDEND",Historic!C:C,"=" &amp; D2,Historic!A:A,"&lt;&gt;XXXXXX")</f>
        <v>6334.68</v>
      </c>
      <c r="Z2" s="9">
        <f t="shared" ref="Z2:Z6" si="10">IF(OR(Y2=0,$M2=0),0,IF(AND(Y2/$M2&gt;-1,Y2/$M2&lt;1),Y2/$M2,Y2/#REF!))</f>
        <v>0.02293557371</v>
      </c>
      <c r="AA2" s="8">
        <f t="shared" ref="AA2:AA6" si="11">N2-M2</f>
        <v>12843.2</v>
      </c>
      <c r="AB2" s="9">
        <f t="shared" ref="AB2:AB7" si="12">IF(AND(AA2=0,$M2=0),0,IF(AND(AA2/$M2&gt;-1,AA2/$M2&lt;1),AA2/$M2,AA2/#REF!))</f>
        <v>0.04650055886</v>
      </c>
      <c r="AC2" s="141">
        <f t="shared" ref="AC2:AD2" si="1">Y2+AA2</f>
        <v>19177.88</v>
      </c>
      <c r="AD2" s="142">
        <f t="shared" si="1"/>
        <v>0.06943613257</v>
      </c>
      <c r="AE2" s="139">
        <f>IF(OR(VLOOKUP($A2,Selection!$A:$D,COLUMN(D:D),false)="",AND($P2&lt;&gt;0,$S2&lt;&gt;0,OR(ABS($S2)&lt;=1000,SIGN($S2)&lt;&gt;SIGN($P2)))),2+0.02/100*ABS($S2),0)</f>
        <v>4.022623637</v>
      </c>
      <c r="AF2" s="143">
        <v>0.0</v>
      </c>
      <c r="AG2" s="144" t="str">
        <f>TEXT(NOW()-MAXIFS(Selection!$L:$L,Selection!$A:$A,$A2),"h:mm:ss")</f>
        <v>23:32:39</v>
      </c>
      <c r="AH2" s="145">
        <f t="array" ref="AH2">MAXIFS(Selection!$J:$J,Selection!$A:$A,$A2)/IF($K2,INDEX($K:$K,ROWS($K:$K)),1)</f>
        <v>4.047034024</v>
      </c>
      <c r="AI2" s="146">
        <f t="shared" ref="AI2:AI6" si="14">$M2/$J2</f>
        <v>3.823184989</v>
      </c>
      <c r="AJ2" s="9">
        <f t="shared" ref="AJ2:AJ6" si="15">1-$AI2/$L2</f>
        <v>0.04443433734</v>
      </c>
      <c r="AK2" s="147">
        <f t="shared" ref="AK2:AK6" si="16">IF($N$7=0,$N$7,$N2/$N$7)</f>
        <v>0.3928077195</v>
      </c>
      <c r="AL2" s="147">
        <f t="shared" ref="AL2:AL6" si="17">IF($AK2=0,0,$AK2-$F2)</f>
        <v>-0.007192280484</v>
      </c>
      <c r="AM2" s="7">
        <f>IF(MAXIFS(Historic!$A:$A,Historic!$C:$C,$D2,Historic!$D:$D,"DIVIDEND",Historic!$G:$G,"&gt;0")&lt;&gt;0,MAXIFS(Historic!$A:$A,Historic!$C:$C,$D2,Historic!$D:$D,"DIVIDEND",Historic!$G:$G,"&gt;0"),"")</f>
        <v>43464</v>
      </c>
      <c r="AN2" s="7">
        <f>IF(MAXIFS(Historic!$A:$A,Historic!$C:$C,$D2,Historic!$D:$D,"DIVIDEND",Historic!$A:$A,"&lt;"&amp;AM2)&lt;&gt;0,EDATE(AM2,DATEDIF(MAXIFS(Historic!$A:$A,Historic!$C:$C,$D2,Historic!$D:$D,"DIVIDEND",Historic!$A:$A,"&lt;"&amp;AM2),EOMONTH(AM2,0),"M")),"")</f>
        <v>43646</v>
      </c>
      <c r="AO2" s="148" t="str">
        <f t="shared" ref="AO2:AO6" si="18">IF($AN2,DATEDIF(TODAY(),$AN2,"D") &amp; "d (" &amp; ROUND(DATEDIF(TODAY(),$AN2,"D")/30,1) &amp; "m)","")</f>
        <v>175d (5.8m)</v>
      </c>
      <c r="AP2" s="145">
        <f t="array" ref="AP2">SUBSTITUTE(MAXIFS(Selection!$S:$S,Selection!$A:$A,$A2),"-","")/INDEX($K:$K,ROWS($K:$K))</f>
        <v>0.05563355531</v>
      </c>
      <c r="AQ2" s="149">
        <f t="shared" ref="AQ2:AQ6" si="19">AP2*J2</f>
        <v>4019.079303</v>
      </c>
      <c r="AR2" s="146">
        <f t="shared" ref="AR2:AR6" si="20">ROUND(IF($AN2,12/DATEDIF($AM2,$AN2,"M"),1))*$AQ2/12</f>
        <v>669.8465505</v>
      </c>
      <c r="AS2" s="140">
        <f t="shared" ref="AS2:AS6" si="21">IF(AND($AP2&lt;&gt;0,$AN2&lt;&gt;""),IFERROR(IF(DATEDIF(TODAY(),$AN2,"D")&lt;=30,$AP2*$J2,0),0),0)</f>
        <v>0</v>
      </c>
      <c r="AT2" s="145">
        <f t="array" ref="AT2">$L2/(1+MAXIFS(Selection!$O:$O,Selection!$F:$F,$D2))*IF($K2,INDEX($K:$K,ROWS($K:$K)),1)</f>
        <v>4.443524023</v>
      </c>
      <c r="AU2" s="146">
        <f>($L2-$AT2)*(AVERAGE(AllocationHistoric!B:B)*$AK2/$AT2)+SUMIFS(Historic!G:G,Historic!D:D,"=DIVIDEND",Historic!B:B,"=" &amp; $E2)</f>
        <v>5602.522224</v>
      </c>
      <c r="AV2" s="146">
        <f>MAXIFS(Selection!T:T,Selection!$F:$F,$D2)</f>
        <v>1004.485873</v>
      </c>
      <c r="AW2" s="9">
        <f>MAXIFS(Selection!U:U,Selection!$F:$F,$D2)</f>
        <v>0.03126351814</v>
      </c>
      <c r="AX2" s="9">
        <f>SUMIF(Dividend!$B:$B,"=" &amp; $E2,Dividend!$G:$G)/Dashboard!$B$30</f>
        <v>0.03023487816</v>
      </c>
      <c r="AY2" s="150">
        <f t="shared" ref="AY2:AY6" si="22">ROUNDDOWN(($O2-$N2)/$L2)*$L2</f>
        <v>12455.00475</v>
      </c>
      <c r="AZ2" s="151">
        <f t="array" ref="AZ2">IF(ABS((-INDEX(Evolution!$N:$R,2,ROW()-1)-$AL2*5)*$M2)&gt;=1,(-INDEX(Evolution!$N:$R,2,ROW()-1)-$AL2*5)*$M2,0)</f>
        <v>10113.11819</v>
      </c>
      <c r="BA2" s="152">
        <f t="shared" ref="BA2:BA6" si="23">ROUNDDOWN((O$7-N$7)/L2)*L2</f>
        <v>17916.32229</v>
      </c>
      <c r="BB2" s="152">
        <f t="shared" ref="BB2:BB6" si="24">IF(OR(S2=0,S2=S$7),IF(AND(OR(L2&gt;ABS(S$7),ABS(S$7)&lt;ABS(O$7-N$7)),OR(S2&lt;&gt;S$7,ABS(O$7-N$7)-ABS(S2)&gt;=0)),S2,IF(OR(P2=0,ABS(ROUNDDOWN((O$7-N$7)/L2)*L2)&gt;1000),ROUNDDOWN((O$7-N$7)/L2)*L2,0)),IF(SIGN(S$7+(O$7-N$7))=SIGN(S2),S2,IF(S$7&gt;0,IF(S2&gt;0,ROUNDDOWN((S2+((O$7-N$7)-S$7)/COUNTIFS(S$2:S$6,"&gt;0",S$2:S$6,"&lt;&gt;0"))/L2)*L2,ROUNDUP((S2+((O$7-N$7)-S$7)/COUNTIFS(S$2:S$6,"&lt;0",S$2:S$6,"&lt;&gt;0"))/L2)*L2),IF(S2&gt;0,ROUNDDOWN((S2-(+S$7-(O$7-N$7))/COUNTIFS(S$2:S$6,"&gt;0",S$2:S$6,"&lt;&gt;0"))/L2)*L2,ROUNDUP((S2-(+S$7-(O$7-N$7))/COUNTIFS(S$2:S$6,"&lt;0",S$2:S$6,"&lt;&gt;0"))/L2)*L2))))</f>
        <v>10113.11819</v>
      </c>
    </row>
    <row r="3">
      <c r="A3" s="10" t="s">
        <v>298</v>
      </c>
      <c r="B3" s="125" t="str">
        <f>IFERROR(__xludf.DUMMYFUNCTION("INDEX(Query(Selection!A:T,""SELECT A, MAX(T) WHERE G='""&amp; E3 &amp;""' GROUP BY A ORDER BY MAX(T) DESC LIMIT 1"",0),2,1)"),"VUSA")</f>
        <v>VUSA</v>
      </c>
      <c r="C3" s="126" t="str">
        <f>VLOOKUP($A3,Selection!$A:$G,5,false)</f>
        <v>IE00B3XXRP09</v>
      </c>
      <c r="D3" s="127" t="str">
        <f>VLOOKUP($A3,Selection!$A:$G,6,false)</f>
        <v>Vanguard S&amp;P 500 UCITS ETF</v>
      </c>
      <c r="E3" s="128" t="str">
        <f>VLOOKUP($A3,Selection!$A:$G,7,false)</f>
        <v>Stocks</v>
      </c>
      <c r="F3" s="129">
        <v>0.3</v>
      </c>
      <c r="G3" s="130">
        <f>MAXIFS(Selection!$Q:$Q,Selection!$A:$A,$A3)</f>
        <v>0.0007</v>
      </c>
      <c r="H3" s="125" t="str">
        <f>VLOOKUP($A3,Selection!$A:$F,2,false)</f>
        <v>AMS</v>
      </c>
      <c r="I3" s="125" t="str">
        <f>VLOOKUP($A3,Selection!$A:$F,3,false)</f>
        <v>NA</v>
      </c>
      <c r="J3" s="131">
        <f>SUMIFS(Historic!E:E,Historic!D:D,"&lt;&gt;DIVIDEND",Historic!C:C,"=" &amp; D3)</f>
        <v>5439</v>
      </c>
      <c r="K3" s="132" t="str">
        <f>IF(OR($I3="US",$I3="LN"),MAXIFS(Selection!$H:$H,Selection!$A:$A,$A3),"")</f>
        <v/>
      </c>
      <c r="L3" s="133">
        <f t="array" ref="L3">IF($K3,$K3/INDEX($K:$K,ROWS($K:$K)),MAXIFS(Selection!$H:$H,Selection!$A:$A,$A3))</f>
        <v>41.848</v>
      </c>
      <c r="M3" s="134">
        <f>-SUMIFS(Historic!G:G,Historic!D:D,"&lt;&gt;DIVIDEND",Historic!C:C,"=" &amp; D3)</f>
        <v>240324.81</v>
      </c>
      <c r="N3" s="135">
        <f t="shared" si="2"/>
        <v>227611.272</v>
      </c>
      <c r="O3" s="136">
        <f t="shared" si="3"/>
        <v>226122.43</v>
      </c>
      <c r="P3" s="8">
        <f>-SUMIFS(Historic!G:G,Historic!C:C,"=" &amp; D3,Historic!E:E,"&lt;&gt;",Historic!A:A,"&gt;=" &amp; DATE(YEAR(TODAY()),MONTH(TODAY()),1),Historic!A:A,"&lt;=" &amp; EOMONTH(TODAY(),0))-SUMIFS(Historic!G:G,Historic!C:C,"=" &amp; D3,Historic!E:E,"&lt;&gt;",Historic!A:A,"XXXXXX")</f>
        <v>3045.1</v>
      </c>
      <c r="Q3" s="137">
        <f t="shared" si="4"/>
        <v>4</v>
      </c>
      <c r="R3" s="138">
        <f t="shared" si="5"/>
        <v>0</v>
      </c>
      <c r="S3" s="139">
        <f t="shared" si="6"/>
        <v>0</v>
      </c>
      <c r="T3" s="140">
        <f t="shared" si="7"/>
        <v>0</v>
      </c>
      <c r="U3" s="9">
        <f t="array" ref="U3">INDEX(Evolution!$N:$R,2,ROW()-1)</f>
        <v>-0.00003105740566</v>
      </c>
      <c r="V3" s="9" t="str">
        <f t="array" ref="V3">IF(AND($S3&lt;&gt;0,OR($S3*$U3&lt;0,($O$7-$N$7)*$AJ3&lt;0)),IF(OR(AND(($O$7-$N$7)*$AJ3&lt;0,$O$7-$N$7&gt;0,$S3&gt;0),$U3&lt;AVERAGEIFS(INDEX(Evolution!$N:$R,0,ROW()-1),INDEX(Evolution!$N:$R,0,ROW()-1),"&lt;0",INDEX(Evolution!$N:$R,0,ROW()-1),"&gt;-0.03")*2),"BUY",IF(OR(AND(($O$7-$N$7)*$AJ3&lt;0,$O$7-$N$7&lt;0,$S3&lt;0),$U3&gt;AVERAGEIFS(INDEX(Evolution!$N:$R,0,ROW()-1),INDEX(Evolution!$N:$R,0,ROW()-1),"&gt;0",INDEX(Evolution!$N:$R,0,ROW()-1),"&lt;0.03")*2),"SELL","MID")),"MID") &amp; " (" &amp; ROUND($U3*100,2) &amp; "%)"</f>
        <v>MID (0%)</v>
      </c>
      <c r="W3" s="136">
        <f t="shared" si="8"/>
        <v>4563.321</v>
      </c>
      <c r="X3" s="9">
        <f t="shared" si="9"/>
        <v>0.02045892365</v>
      </c>
      <c r="Y3" s="8">
        <f>SUMIFS(Historic!G:G,Historic!D:D,"=DIVIDEND",Historic!C:C,"=" &amp; D3,Historic!A:A,"&lt;&gt;XXXXXX")</f>
        <v>2027.24</v>
      </c>
      <c r="Z3" s="9">
        <f t="shared" si="10"/>
        <v>0.008435417051</v>
      </c>
      <c r="AA3" s="8">
        <f t="shared" si="11"/>
        <v>-12713.538</v>
      </c>
      <c r="AB3" s="9">
        <f t="shared" si="12"/>
        <v>-0.05290147946</v>
      </c>
      <c r="AC3" s="141">
        <f t="shared" ref="AC3:AD3" si="13">Y3+AA3</f>
        <v>-10686.298</v>
      </c>
      <c r="AD3" s="142">
        <f t="shared" si="13"/>
        <v>-0.04446606241</v>
      </c>
      <c r="AE3" s="139">
        <f>IF(OR(VLOOKUP($A3,Selection!$A:$D,COLUMN(D:D),false)="",AND($P3&lt;&gt;0,$S3&lt;&gt;0,OR(ABS($S3)&lt;=1000,SIGN($S3)&lt;&gt;SIGN($P3)))),2+0.02/100*ABS($S3),0)</f>
        <v>0</v>
      </c>
      <c r="AF3" s="143">
        <v>0.0</v>
      </c>
      <c r="AG3" s="144" t="str">
        <f>TEXT(NOW()-MAXIFS(Selection!$L:$L,Selection!$A:$A,$A3),"h:mm:ss")</f>
        <v>23:32:32</v>
      </c>
      <c r="AH3" s="145">
        <f t="array" ref="AH3">MAXIFS(Selection!$J:$J,Selection!$A:$A,$A3)/IF($K3,INDEX($K:$K,ROWS($K:$K)),1)</f>
        <v>41.009</v>
      </c>
      <c r="AI3" s="146">
        <f t="shared" si="14"/>
        <v>44.18547711</v>
      </c>
      <c r="AJ3" s="9">
        <f t="shared" si="15"/>
        <v>-0.05585636374</v>
      </c>
      <c r="AK3" s="147">
        <f t="shared" si="16"/>
        <v>0.309328006</v>
      </c>
      <c r="AL3" s="147">
        <f t="shared" si="17"/>
        <v>0.009328006037</v>
      </c>
      <c r="AM3" s="7">
        <f>IF(MAXIFS(Historic!$A:$A,Historic!$C:$C,$D3,Historic!$D:$D,"DIVIDEND",Historic!$G:$G,"&gt;0")&lt;&gt;0,MAXIFS(Historic!$A:$A,Historic!$C:$C,$D3,Historic!$D:$D,"DIVIDEND",Historic!$G:$G,"&gt;0"),"")</f>
        <v>43383</v>
      </c>
      <c r="AN3" s="7">
        <f>IF(MAXIFS(Historic!$A:$A,Historic!$C:$C,$D3,Historic!$D:$D,"DIVIDEND",Historic!$A:$A,"&lt;"&amp;AM3)&lt;&gt;0,EDATE(AM3,DATEDIF(MAXIFS(Historic!$A:$A,Historic!$C:$C,$D3,Historic!$D:$D,"DIVIDEND",Historic!$A:$A,"&lt;"&amp;AM3),EOMONTH(AM3,0),"M")),"")</f>
        <v>43475</v>
      </c>
      <c r="AO3" s="148" t="str">
        <f t="shared" si="18"/>
        <v>4d (0.1m)</v>
      </c>
      <c r="AP3" s="145">
        <f t="array" ref="AP3">SUBSTITUTE(MAXIFS(Selection!$S:$S,Selection!$A:$A,$A3),"-","")/INDEX($K:$K,ROWS($K:$K))</f>
        <v>0.1882686897</v>
      </c>
      <c r="AQ3" s="149">
        <f t="shared" si="19"/>
        <v>1023.993403</v>
      </c>
      <c r="AR3" s="146">
        <f t="shared" si="20"/>
        <v>341.3311344</v>
      </c>
      <c r="AS3" s="140">
        <f t="shared" si="21"/>
        <v>1023.993403</v>
      </c>
      <c r="AT3" s="145">
        <f t="array" ref="AT3">$L3/(1+MAXIFS(Selection!$O:$O,Selection!$F:$F,$D3))*IF($K3,INDEX($K:$K,ROWS($K:$K)),1)</f>
        <v>37.28771273</v>
      </c>
      <c r="AU3" s="146">
        <f>($L3-$AT3)*(AVERAGE(AllocationHistoric!B:B)*$AK3/$AT3)+SUMIFS(Historic!G:G,Historic!D:D,"=DIVIDEND",Historic!B:B,"=" &amp; $E3)</f>
        <v>5362.357054</v>
      </c>
      <c r="AV3" s="146">
        <f>MAXIFS(Selection!T:T,Selection!$F:$F,$D3)</f>
        <v>2175.131073</v>
      </c>
      <c r="AW3" s="9">
        <f>MAXIFS(Selection!U:U,Selection!$F:$F,$D3)</f>
        <v>0.09026475017</v>
      </c>
      <c r="AX3" s="9">
        <f>SUMIF(Dividend!$B:$B,"=" &amp; $E3,Dividend!$G:$G)/Dashboard!$B$30</f>
        <v>0.01269385342</v>
      </c>
      <c r="AY3" s="150">
        <f t="shared" si="22"/>
        <v>-1464.68</v>
      </c>
      <c r="AZ3" s="151">
        <f t="array" ref="AZ3">IF(ABS((-INDEX(Evolution!$N:$R,2,ROW()-1)-$AL3*5)*$M3)&gt;=1,(-INDEX(Evolution!$N:$R,2,ROW()-1)-$AL3*5)*$M3,0)</f>
        <v>-11201.29253</v>
      </c>
      <c r="BA3" s="152">
        <f t="shared" si="23"/>
        <v>17910.944</v>
      </c>
      <c r="BB3" s="152">
        <f t="shared" si="24"/>
        <v>0</v>
      </c>
    </row>
    <row r="4">
      <c r="A4" s="10" t="s">
        <v>314</v>
      </c>
      <c r="B4" s="125" t="str">
        <f>IFERROR(__xludf.DUMMYFUNCTION("INDEX(Query(Selection!A:T,""SELECT A, MAX(T) WHERE G='""&amp; E4 &amp;""' GROUP BY A ORDER BY MAX(T) DESC LIMIT 1"",0),2,1)"),"BTMA")</f>
        <v>BTMA</v>
      </c>
      <c r="C4" s="126" t="str">
        <f>VLOOKUP($A4,Selection!$A:$G,5,false)</f>
        <v>IE00B1FZS798</v>
      </c>
      <c r="D4" s="127" t="str">
        <f>VLOOKUP($A4,Selection!$A:$G,6,false)</f>
        <v>iShares USD Treasury Bond 7-10yr UCITS ETF USD Dist</v>
      </c>
      <c r="E4" s="128" t="str">
        <f>VLOOKUP($A4,Selection!$A:$G,7,false)</f>
        <v>Intermediate US bonds (7-10 year)</v>
      </c>
      <c r="F4" s="129">
        <v>0.15</v>
      </c>
      <c r="G4" s="130">
        <f>MAXIFS(Selection!$Q:$Q,Selection!$A:$A,$A4)</f>
        <v>0.002</v>
      </c>
      <c r="H4" s="125" t="str">
        <f>VLOOKUP($A4,Selection!$A:$F,2,false)</f>
        <v>AMS</v>
      </c>
      <c r="I4" s="125" t="str">
        <f>VLOOKUP($A4,Selection!$A:$F,3,false)</f>
        <v>NA</v>
      </c>
      <c r="J4" s="131">
        <f>SUMIFS(Historic!E:E,Historic!D:D,"&lt;&gt;DIVIDEND",Historic!C:C,"=" &amp; D4)</f>
        <v>639</v>
      </c>
      <c r="K4" s="132" t="str">
        <f>IF(OR($I4="US",$I4="LN"),MAXIFS(Selection!$H:$H,Selection!$A:$A,$A4),"")</f>
        <v/>
      </c>
      <c r="L4" s="133">
        <f t="array" ref="L4">IF($K4,$K4/INDEX($K:$K,ROWS($K:$K)),MAXIFS(Selection!$H:$H,Selection!$A:$A,$A4))</f>
        <v>168.53</v>
      </c>
      <c r="M4" s="134">
        <f>-SUMIFS(Historic!G:G,Historic!D:D,"&lt;&gt;DIVIDEND",Historic!C:C,"=" &amp; D4)</f>
        <v>101946.54</v>
      </c>
      <c r="N4" s="135">
        <f t="shared" si="2"/>
        <v>107690.67</v>
      </c>
      <c r="O4" s="136">
        <f t="shared" si="3"/>
        <v>113061.215</v>
      </c>
      <c r="P4" s="8">
        <f>-SUMIFS(Historic!G:G,Historic!C:C,"=" &amp; D4,Historic!E:E,"&lt;&gt;",Historic!A:A,"&gt;=" &amp; DATE(YEAR(TODAY()),MONTH(TODAY()),1),Historic!A:A,"&lt;=" &amp; EOMONTH(TODAY(),0))-SUMIFS(Historic!G:G,Historic!C:C,"=" &amp; D4,Historic!E:E,"&lt;&gt;",Historic!A:A,"XXXXXX")</f>
        <v>0</v>
      </c>
      <c r="Q4" s="137">
        <f t="shared" si="4"/>
        <v>1</v>
      </c>
      <c r="R4" s="138">
        <f t="shared" si="5"/>
        <v>11</v>
      </c>
      <c r="S4" s="139">
        <f t="shared" si="6"/>
        <v>1996.646557</v>
      </c>
      <c r="T4" s="140">
        <f t="shared" si="7"/>
        <v>0</v>
      </c>
      <c r="U4" s="9">
        <f t="array" ref="U4">INDEX(Evolution!$N:$R,2,ROW()-1)</f>
        <v>-0.001353476415</v>
      </c>
      <c r="V4" s="9" t="str">
        <f t="array" ref="V4">IF(AND($S4&lt;&gt;0,OR($S4*$U4&lt;0,($O$7-$N$7)*$AJ4&lt;0)),IF(OR(AND(($O$7-$N$7)*$AJ4&lt;0,$O$7-$N$7&gt;0,$S4&gt;0),$U4&lt;AVERAGEIFS(INDEX(Evolution!$N:$R,0,ROW()-1),INDEX(Evolution!$N:$R,0,ROW()-1),"&lt;0",INDEX(Evolution!$N:$R,0,ROW()-1),"&gt;-0.03")*2),"BUY",IF(OR(AND(($O$7-$N$7)*$AJ4&lt;0,$O$7-$N$7&lt;0,$S4&lt;0),$U4&gt;AVERAGEIFS(INDEX(Evolution!$N:$R,0,ROW()-1),INDEX(Evolution!$N:$R,0,ROW()-1),"&gt;0",INDEX(Evolution!$N:$R,0,ROW()-1),"&lt;0.03")*2),"SELL","MID")),"MID") &amp; " (" &amp; ROUND($U4*100,2) &amp; "%)"</f>
        <v>MID (-0.14%)</v>
      </c>
      <c r="W4" s="136">
        <f t="shared" si="8"/>
        <v>-805.14</v>
      </c>
      <c r="X4" s="9">
        <f t="shared" si="9"/>
        <v>-0.007420931739</v>
      </c>
      <c r="Y4" s="8">
        <f>SUMIFS(Historic!G:G,Historic!D:D,"=DIVIDEND",Historic!C:C,"=" &amp; D4,Historic!A:A,"&lt;&gt;XXXXXX")</f>
        <v>1860.88</v>
      </c>
      <c r="Z4" s="9">
        <f t="shared" si="10"/>
        <v>0.01825348854</v>
      </c>
      <c r="AA4" s="8">
        <f t="shared" si="11"/>
        <v>5744.13</v>
      </c>
      <c r="AB4" s="9">
        <f t="shared" si="12"/>
        <v>0.05634453116</v>
      </c>
      <c r="AC4" s="141">
        <f t="shared" ref="AC4:AD4" si="25">Y4+AA4</f>
        <v>7605.01</v>
      </c>
      <c r="AD4" s="142">
        <f t="shared" si="25"/>
        <v>0.07459801971</v>
      </c>
      <c r="AE4" s="139">
        <f>IF(OR(VLOOKUP($A4,Selection!$A:$D,COLUMN(D:D),false)="",AND($P4&lt;&gt;0,$S4&lt;&gt;0,OR(ABS($S4)&lt;=1000,SIGN($S4)&lt;&gt;SIGN($P4)))),2+0.02/100*ABS($S4),0)</f>
        <v>0</v>
      </c>
      <c r="AF4" s="143">
        <v>0.0</v>
      </c>
      <c r="AG4" s="144" t="str">
        <f>TEXT(NOW()-MAXIFS(Selection!$L:$L,Selection!$A:$A,$A4),"h:mm:ss")</f>
        <v>23:32:27</v>
      </c>
      <c r="AH4" s="145">
        <f t="array" ref="AH4">MAXIFS(Selection!$J:$J,Selection!$A:$A,$A4)/IF($K4,INDEX($K:$K,ROWS($K:$K)),1)</f>
        <v>169.79</v>
      </c>
      <c r="AI4" s="146">
        <f t="shared" si="14"/>
        <v>159.5407512</v>
      </c>
      <c r="AJ4" s="9">
        <f t="shared" si="15"/>
        <v>0.05333916114</v>
      </c>
      <c r="AK4" s="147">
        <f t="shared" si="16"/>
        <v>0.146353649</v>
      </c>
      <c r="AL4" s="147">
        <f t="shared" si="17"/>
        <v>-0.00364635096</v>
      </c>
      <c r="AM4" s="7">
        <f>IF(MAXIFS(Historic!$A:$A,Historic!$C:$C,$D4,Historic!$D:$D,"DIVIDEND",Historic!$G:$G,"&gt;0")&lt;&gt;0,MAXIFS(Historic!$A:$A,Historic!$C:$C,$D4,Historic!$D:$D,"DIVIDEND",Historic!$G:$G,"&gt;0"),"")</f>
        <v>43433</v>
      </c>
      <c r="AN4" s="7">
        <f>IF(MAXIFS(Historic!$A:$A,Historic!$C:$C,$D4,Historic!$D:$D,"DIVIDEND",Historic!$A:$A,"&lt;"&amp;AM4)&lt;&gt;0,EDATE(AM4,DATEDIF(MAXIFS(Historic!$A:$A,Historic!$C:$C,$D4,Historic!$D:$D,"DIVIDEND",Historic!$A:$A,"&lt;"&amp;AM4),EOMONTH(AM4,0),"M")),"")</f>
        <v>43584</v>
      </c>
      <c r="AO4" s="148" t="str">
        <f t="shared" si="18"/>
        <v>113d (3.8m)</v>
      </c>
      <c r="AP4" s="145">
        <f t="array" ref="AP4">SUBSTITUTE(MAXIFS(Selection!$S:$S,Selection!$A:$A,$A4),"-","")/INDEX($K:$K,ROWS($K:$K))</f>
        <v>2.146191634</v>
      </c>
      <c r="AQ4" s="149">
        <f t="shared" si="19"/>
        <v>1371.416454</v>
      </c>
      <c r="AR4" s="146">
        <f t="shared" si="20"/>
        <v>228.569409</v>
      </c>
      <c r="AS4" s="140">
        <f t="shared" si="21"/>
        <v>0</v>
      </c>
      <c r="AT4" s="145">
        <f t="array" ref="AT4">$L4/(1+MAXIFS(Selection!$O:$O,Selection!$F:$F,$D4))*IF($K4,INDEX($K:$K,ROWS($K:$K)),1)</f>
        <v>158.0808555</v>
      </c>
      <c r="AU4" s="146">
        <f>($L4-$AT4)*(AVERAGE(AllocationHistoric!B:B)*$AK4/$AT4)+SUMIFS(Historic!G:G,Historic!D:D,"=DIVIDEND",Historic!B:B,"=" &amp; $E4)</f>
        <v>2913.023656</v>
      </c>
      <c r="AV4" s="146">
        <f>MAXIFS(Selection!T:T,Selection!$F:$F,$D4)</f>
        <v>685.0806529</v>
      </c>
      <c r="AW4" s="9">
        <f>MAXIFS(Selection!U:U,Selection!$F:$F,$D4)</f>
        <v>0.05685968515</v>
      </c>
      <c r="AX4" s="9">
        <f>SUMIF(Dividend!$B:$B,"=" &amp; $E4,Dividend!$G:$G)/Dashboard!$B$30</f>
        <v>0.01457119169</v>
      </c>
      <c r="AY4" s="150">
        <f t="shared" si="22"/>
        <v>5224.43</v>
      </c>
      <c r="AZ4" s="151">
        <f t="array" ref="AZ4">IF(ABS((-INDEX(Evolution!$N:$R,2,ROW()-1)-$AL4*5)*$M4)&gt;=1,(-INDEX(Evolution!$N:$R,2,ROW()-1)-$AL4*5)*$M4,0)</f>
        <v>1996.646557</v>
      </c>
      <c r="BA4" s="152">
        <f t="shared" si="23"/>
        <v>17864.18</v>
      </c>
      <c r="BB4" s="152">
        <f t="shared" si="24"/>
        <v>1996.646557</v>
      </c>
    </row>
    <row r="5">
      <c r="A5" s="10" t="s">
        <v>331</v>
      </c>
      <c r="B5" s="125" t="str">
        <f>IFERROR(__xludf.DUMMYFUNCTION("INDEX(Query(Selection!A:T,""SELECT A, MAX(T) WHERE G='""&amp; E5 &amp;""' GROUP BY A ORDER BY MAX(T) DESC LIMIT 1"",0),2,1)"),"EXXY")</f>
        <v>EXXY</v>
      </c>
      <c r="C5" s="126" t="str">
        <f>VLOOKUP($A5,Selection!$A:$G,5,false)</f>
        <v>GB00B15KY989</v>
      </c>
      <c r="D5" s="127" t="str">
        <f>VLOOKUP($A5,Selection!$A:$G,6,false)</f>
        <v>ETFS All Commodities</v>
      </c>
      <c r="E5" s="128" t="str">
        <f>VLOOKUP($A5,Selection!$A:$G,7,false)</f>
        <v>Commodities</v>
      </c>
      <c r="F5" s="129">
        <v>0.075</v>
      </c>
      <c r="G5" s="130">
        <f>MAXIFS(Selection!$Q:$Q,Selection!$A:$A,$A5)</f>
        <v>0.0049</v>
      </c>
      <c r="H5" s="125" t="str">
        <f>VLOOKUP($A5,Selection!$A:$F,2,false)</f>
        <v>EPA</v>
      </c>
      <c r="I5" s="125" t="str">
        <f>VLOOKUP($A5,Selection!$A:$F,3,false)</f>
        <v>FP</v>
      </c>
      <c r="J5" s="131">
        <f>SUMIFS(Historic!E:E,Historic!D:D,"&lt;&gt;DIVIDEND",Historic!C:C,"=" &amp; D5)</f>
        <v>8201</v>
      </c>
      <c r="K5" s="132" t="str">
        <f>IF(OR($I5="US",$I5="LN"),MAXIFS(Selection!$H:$H,Selection!$A:$A,$A5),"")</f>
        <v/>
      </c>
      <c r="L5" s="133">
        <f t="array" ref="L5">IF($K5,$K5/INDEX($K:$K,ROWS($K:$K)),MAXIFS(Selection!$H:$H,Selection!$A:$A,$A5))</f>
        <v>6.962</v>
      </c>
      <c r="M5" s="134">
        <f>-SUMIFS(Historic!G:G,Historic!D:D,"&lt;&gt;DIVIDEND",Historic!C:C,"=" &amp; D5)</f>
        <v>60467.84</v>
      </c>
      <c r="N5" s="135">
        <f t="shared" si="2"/>
        <v>57095.362</v>
      </c>
      <c r="O5" s="136">
        <f t="shared" si="3"/>
        <v>56530.60749</v>
      </c>
      <c r="P5" s="8">
        <f>-SUMIFS(Historic!G:G,Historic!C:C,"=" &amp; D5,Historic!E:E,"&lt;&gt;",Historic!A:A,"&gt;=" &amp; DATE(YEAR(TODAY()),MONTH(TODAY()),1),Historic!A:A,"&lt;=" &amp; EOMONTH(TODAY(),0))-SUMIFS(Historic!G:G,Historic!C:C,"=" &amp; D5,Historic!E:E,"&lt;&gt;",Historic!A:A,"XXXXXX")</f>
        <v>2046</v>
      </c>
      <c r="Q5" s="137">
        <f t="shared" si="4"/>
        <v>3</v>
      </c>
      <c r="R5" s="138">
        <f t="shared" si="5"/>
        <v>0</v>
      </c>
      <c r="S5" s="139">
        <f t="shared" si="6"/>
        <v>0</v>
      </c>
      <c r="T5" s="140">
        <f t="shared" si="7"/>
        <v>0</v>
      </c>
      <c r="U5" s="9">
        <f t="array" ref="U5">INDEX(Evolution!$N:$R,2,ROW()-1)</f>
        <v>0.002182032746</v>
      </c>
      <c r="V5" s="9" t="str">
        <f t="array" ref="V5">IF(AND($S5&lt;&gt;0,OR($S5*$U5&lt;0,($O$7-$N$7)*$AJ5&lt;0)),IF(OR(AND(($O$7-$N$7)*$AJ5&lt;0,$O$7-$N$7&gt;0,$S5&gt;0),$U5&lt;AVERAGEIFS(INDEX(Evolution!$N:$R,0,ROW()-1),INDEX(Evolution!$N:$R,0,ROW()-1),"&lt;0",INDEX(Evolution!$N:$R,0,ROW()-1),"&gt;-0.03")*2),"BUY",IF(OR(AND(($O$7-$N$7)*$AJ5&lt;0,$O$7-$N$7&lt;0,$S5&lt;0),$U5&gt;AVERAGEIFS(INDEX(Evolution!$N:$R,0,ROW()-1),INDEX(Evolution!$N:$R,0,ROW()-1),"&gt;0",INDEX(Evolution!$N:$R,0,ROW()-1),"&lt;0.03")*2),"SELL","MID")),"MID") &amp; " (" &amp; ROUND($U5*100,2) &amp; "%)"</f>
        <v>MID (0.22%)</v>
      </c>
      <c r="W5" s="136">
        <f t="shared" si="8"/>
        <v>1025.125</v>
      </c>
      <c r="X5" s="9">
        <f t="shared" si="9"/>
        <v>0.0182828726</v>
      </c>
      <c r="Y5" s="8">
        <f>SUMIFS(Historic!G:G,Historic!D:D,"=DIVIDEND",Historic!C:C,"=" &amp; D5,Historic!A:A,"&lt;&gt;XXXXXX")</f>
        <v>0</v>
      </c>
      <c r="Z5" s="9">
        <f t="shared" si="10"/>
        <v>0</v>
      </c>
      <c r="AA5" s="8">
        <f t="shared" si="11"/>
        <v>-3372.478</v>
      </c>
      <c r="AB5" s="9">
        <f t="shared" si="12"/>
        <v>-0.05577308533</v>
      </c>
      <c r="AC5" s="153">
        <f t="shared" ref="AC5:AD5" si="26">Y5+AA5</f>
        <v>-3372.478</v>
      </c>
      <c r="AD5" s="142">
        <f t="shared" si="26"/>
        <v>-0.05577308533</v>
      </c>
      <c r="AE5" s="139">
        <f>IF(OR(VLOOKUP($A5,Selection!$A:$D,COLUMN(D:D),false)="",AND($P5&lt;&gt;0,$S5&lt;&gt;0,OR(ABS($S5)&lt;=1000,SIGN($S5)&lt;&gt;SIGN($P5)))),2+0.02/100*ABS($S5),0)</f>
        <v>0</v>
      </c>
      <c r="AF5" s="143">
        <v>0.0</v>
      </c>
      <c r="AG5" s="144" t="str">
        <f>TEXT(NOW()-MAXIFS(Selection!$L:$L,Selection!$A:$A,$A5),"h:mm:ss")</f>
        <v>23:32:20</v>
      </c>
      <c r="AH5" s="145">
        <f t="array" ref="AH5">MAXIFS(Selection!$J:$J,Selection!$A:$A,$A5)/IF($K5,INDEX($K:$K,ROWS($K:$K)),1)</f>
        <v>6.837</v>
      </c>
      <c r="AI5" s="146">
        <f t="shared" si="14"/>
        <v>7.373227655</v>
      </c>
      <c r="AJ5" s="9">
        <f t="shared" si="15"/>
        <v>-0.05906745981</v>
      </c>
      <c r="AK5" s="147">
        <f t="shared" si="16"/>
        <v>0.07759367243</v>
      </c>
      <c r="AL5" s="147">
        <f t="shared" si="17"/>
        <v>0.002593672432</v>
      </c>
      <c r="AM5" s="7" t="str">
        <f>IF(MAXIFS(Historic!$A:$A,Historic!$C:$C,$D5,Historic!$D:$D,"DIVIDEND",Historic!$G:$G,"&gt;0")&lt;&gt;0,MAXIFS(Historic!$A:$A,Historic!$C:$C,$D5,Historic!$D:$D,"DIVIDEND",Historic!$G:$G,"&gt;0"),"")</f>
        <v/>
      </c>
      <c r="AN5" s="7" t="str">
        <f>IF(MAXIFS(Historic!$A:$A,Historic!$C:$C,$D5,Historic!$D:$D,"DIVIDEND",Historic!$A:$A,"&lt;"&amp;AM5)&lt;&gt;0,EDATE(AM5,DATEDIF(MAXIFS(Historic!$A:$A,Historic!$C:$C,$D5,Historic!$D:$D,"DIVIDEND",Historic!$A:$A,"&lt;"&amp;AM5),EOMONTH(AM5,0),"M")),"")</f>
        <v/>
      </c>
      <c r="AO5" s="148" t="str">
        <f t="shared" si="18"/>
        <v/>
      </c>
      <c r="AP5" s="145">
        <f t="array" ref="AP5">SUBSTITUTE(MAXIFS(Selection!$S:$S,Selection!$A:$A,$A5),"-","")/INDEX($K:$K,ROWS($K:$K))</f>
        <v>0</v>
      </c>
      <c r="AQ5" s="149">
        <f t="shared" si="19"/>
        <v>0</v>
      </c>
      <c r="AR5" s="146">
        <f t="shared" si="20"/>
        <v>0</v>
      </c>
      <c r="AS5" s="140">
        <f t="shared" si="21"/>
        <v>0</v>
      </c>
      <c r="AT5" s="145">
        <f t="array" ref="AT5">$L5/(1+MAXIFS(Selection!$O:$O,Selection!$F:$F,$D5))*IF($K5,INDEX($K:$K,ROWS($K:$K)),1)</f>
        <v>7.425341297</v>
      </c>
      <c r="AU5" s="146">
        <f>($L5-$AT5)*(AVERAGE(AllocationHistoric!B:B)*$AK5/$AT5)+SUMIFS(Historic!G:G,Historic!D:D,"=DIVIDEND",Historic!B:B,"=" &amp; $E5)</f>
        <v>-388.9169669</v>
      </c>
      <c r="AV5" s="146">
        <f>MAXIFS(Selection!T:T,Selection!$F:$F,$D5)</f>
        <v>-261.9654997</v>
      </c>
      <c r="AW5" s="9">
        <f>MAXIFS(Selection!U:U,Selection!$F:$F,$D5)</f>
        <v>-0.04348473648</v>
      </c>
      <c r="AX5" s="9">
        <f>SUMIF(Dividend!$B:$B,"=" &amp; $E5,Dividend!$G:$G)/Dashboard!$B$30</f>
        <v>0</v>
      </c>
      <c r="AY5" s="150">
        <f t="shared" si="22"/>
        <v>-563.922</v>
      </c>
      <c r="AZ5" s="151">
        <f t="array" ref="AZ5">IF(ABS((-INDEX(Evolution!$N:$R,2,ROW()-1)-$AL5*5)*$M5)&gt;=1,(-INDEX(Evolution!$N:$R,2,ROW()-1)-$AL5*5)*$M5,0)</f>
        <v>-916.1116552</v>
      </c>
      <c r="BA5" s="152">
        <f t="shared" si="23"/>
        <v>17913.226</v>
      </c>
      <c r="BB5" s="152">
        <f t="shared" si="24"/>
        <v>0</v>
      </c>
    </row>
    <row r="6">
      <c r="A6" s="10" t="s">
        <v>342</v>
      </c>
      <c r="B6" s="125" t="str">
        <f>IFERROR(__xludf.DUMMYFUNCTION("INDEX(Query(Selection!A:T,""SELECT A, MAX(T) WHERE G='""&amp; E6 &amp;""' GROUP BY A ORDER BY MAX(T) DESC LIMIT 1"",0),2,1)"),"IAU")</f>
        <v>IAU</v>
      </c>
      <c r="C6" s="126" t="str">
        <f>VLOOKUP($A6,Selection!$A:$G,5,false)</f>
        <v>JE00B1VS3770</v>
      </c>
      <c r="D6" s="127" t="str">
        <f>VLOOKUP($A6,Selection!$A:$G,6,false)</f>
        <v>ETFS Physical Gold</v>
      </c>
      <c r="E6" s="128" t="str">
        <f>VLOOKUP($A6,Selection!$A:$G,7,false)</f>
        <v>Gold</v>
      </c>
      <c r="F6" s="129">
        <v>0.075</v>
      </c>
      <c r="G6" s="130">
        <f>MAXIFS(Selection!$Q:$Q,Selection!$A:$A,$A6)</f>
        <v>0.0039</v>
      </c>
      <c r="H6" s="125" t="str">
        <f>VLOOKUP($A6,Selection!$A:$F,2,false)</f>
        <v>AMS</v>
      </c>
      <c r="I6" s="125" t="str">
        <f>VLOOKUP($A6,Selection!$A:$F,3,false)</f>
        <v>NA</v>
      </c>
      <c r="J6" s="131">
        <f>SUMIFS(Historic!E:E,Historic!D:D,"&lt;&gt;DIVIDEND",Historic!C:C,"=" &amp; D6)</f>
        <v>506</v>
      </c>
      <c r="K6" s="132" t="str">
        <f>IF(OR($I6="US",$I6="LN"),MAXIFS(Selection!$H:$H,Selection!$A:$A,$A6),"")</f>
        <v/>
      </c>
      <c r="L6" s="133">
        <f t="array" ref="L6">IF($K6,$K6/INDEX($K:$K,ROWS($K:$K)),MAXIFS(Selection!$H:$H,Selection!$A:$A,$A6))</f>
        <v>107.49</v>
      </c>
      <c r="M6" s="154">
        <f>-SUMIFS(Historic!G:G,Historic!D:D,"&lt;&gt;DIVIDEND",Historic!C:C,"=" &amp; D6)</f>
        <v>52182.08</v>
      </c>
      <c r="N6" s="135">
        <f t="shared" si="2"/>
        <v>54389.94</v>
      </c>
      <c r="O6" s="136">
        <f t="shared" si="3"/>
        <v>56530.60749</v>
      </c>
      <c r="P6" s="8">
        <f>-SUMIFS(Historic!G:G,Historic!C:C,"=" &amp; D6,Historic!E:E,"&lt;&gt;",Historic!A:A,"&gt;=" &amp; DATE(YEAR(TODAY()),MONTH(TODAY()),1),Historic!A:A,"&lt;=" &amp; EOMONTH(TODAY(),0))-SUMIFS(Historic!G:G,Historic!C:C,"=" &amp; D6,Historic!E:E,"&lt;&gt;",Historic!A:A,"XXXXXX")</f>
        <v>0</v>
      </c>
      <c r="Q6" s="137">
        <f t="shared" si="4"/>
        <v>2</v>
      </c>
      <c r="R6" s="138">
        <f t="shared" si="5"/>
        <v>0</v>
      </c>
      <c r="S6" s="139">
        <f t="shared" si="6"/>
        <v>0</v>
      </c>
      <c r="T6" s="140">
        <f t="shared" si="7"/>
        <v>0</v>
      </c>
      <c r="U6" s="9">
        <f t="array" ref="U6">INDEX(Evolution!$N:$R,2,ROW()-1)</f>
        <v>-0.002539197402</v>
      </c>
      <c r="V6" s="9" t="str">
        <f t="array" ref="V6">IF(AND($S6&lt;&gt;0,OR($S6*$U6&lt;0,($O$7-$N$7)*$AJ6&lt;0)),IF(OR(AND(($O$7-$N$7)*$AJ6&lt;0,$O$7-$N$7&gt;0,$S6&gt;0),$U6&lt;AVERAGEIFS(INDEX(Evolution!$N:$R,0,ROW()-1),INDEX(Evolution!$N:$R,0,ROW()-1),"&lt;0",INDEX(Evolution!$N:$R,0,ROW()-1),"&gt;-0.03")*2),"BUY",IF(OR(AND(($O$7-$N$7)*$AJ6&lt;0,$O$7-$N$7&lt;0,$S6&lt;0),$U6&gt;AVERAGEIFS(INDEX(Evolution!$N:$R,0,ROW()-1),INDEX(Evolution!$N:$R,0,ROW()-1),"&gt;0",INDEX(Evolution!$N:$R,0,ROW()-1),"&lt;0.03")*2),"SELL","MID")),"MID") &amp; " (" &amp; ROUND($U6*100,2) &amp; "%)"</f>
        <v>MID (-0.25%)</v>
      </c>
      <c r="W6" s="155">
        <f t="shared" si="8"/>
        <v>-308.66</v>
      </c>
      <c r="X6" s="9">
        <f t="shared" si="9"/>
        <v>-0.005642923219</v>
      </c>
      <c r="Y6" s="8">
        <f>SUMIFS(Historic!G:G,Historic!D:D,"=DIVIDEND",Historic!C:C,"=" &amp; D6,Historic!A:A,"&lt;&gt;XXXXXX")</f>
        <v>0</v>
      </c>
      <c r="Z6" s="9">
        <f t="shared" si="10"/>
        <v>0</v>
      </c>
      <c r="AA6" s="8">
        <f t="shared" si="11"/>
        <v>2207.86</v>
      </c>
      <c r="AB6" s="9">
        <f t="shared" si="12"/>
        <v>0.04231069363</v>
      </c>
      <c r="AC6" s="141">
        <f t="shared" ref="AC6:AD6" si="27">Y6+AA6</f>
        <v>2207.86</v>
      </c>
      <c r="AD6" s="142">
        <f t="shared" si="27"/>
        <v>0.04231069363</v>
      </c>
      <c r="AE6" s="139">
        <f>IF(OR(VLOOKUP($A6,Selection!$A:$D,COLUMN(D:D),false)="",AND($P6&lt;&gt;0,$S6&lt;&gt;0,OR(ABS($S6)&lt;=1000,SIGN($S6)&lt;&gt;SIGN($P6)))),2+0.02/100*ABS($S6),0)</f>
        <v>0</v>
      </c>
      <c r="AF6" s="156">
        <v>0.0</v>
      </c>
      <c r="AG6" s="144" t="str">
        <f>TEXT(NOW()-MAXIFS(Selection!$L:$L,Selection!$A:$A,$A6),"h:mm:ss")</f>
        <v>23:32:12</v>
      </c>
      <c r="AH6" s="145">
        <f t="array" ref="AH6">MAXIFS(Selection!$J:$J,Selection!$A:$A,$A6)/IF($K6,INDEX($K:$K,ROWS($K:$K)),1)</f>
        <v>108.1</v>
      </c>
      <c r="AI6" s="146">
        <f t="shared" si="14"/>
        <v>103.1266403</v>
      </c>
      <c r="AJ6" s="9">
        <f t="shared" si="15"/>
        <v>0.04059316852</v>
      </c>
      <c r="AK6" s="147">
        <f t="shared" si="16"/>
        <v>0.07391695297</v>
      </c>
      <c r="AL6" s="147">
        <f t="shared" si="17"/>
        <v>-0.001083047026</v>
      </c>
      <c r="AM6" s="7" t="str">
        <f>IF(MAXIFS(Historic!$A:$A,Historic!$C:$C,$D6,Historic!$D:$D,"DIVIDEND",Historic!$G:$G,"&gt;0")&lt;&gt;0,MAXIFS(Historic!$A:$A,Historic!$C:$C,$D6,Historic!$D:$D,"DIVIDEND",Historic!$G:$G,"&gt;0"),"")</f>
        <v/>
      </c>
      <c r="AN6" s="7" t="str">
        <f>IF(MAXIFS(Historic!$A:$A,Historic!$C:$C,$D6,Historic!$D:$D,"DIVIDEND",Historic!$A:$A,"&lt;"&amp;AM6)&lt;&gt;0,EDATE(AM6,DATEDIF(MAXIFS(Historic!$A:$A,Historic!$C:$C,$D6,Historic!$D:$D,"DIVIDEND",Historic!$A:$A,"&lt;"&amp;AM6),EOMONTH(AM6,0),"M")),"")</f>
        <v/>
      </c>
      <c r="AO6" s="148" t="str">
        <f t="shared" si="18"/>
        <v/>
      </c>
      <c r="AP6" s="145">
        <f t="array" ref="AP6">SUBSTITUTE(MAXIFS(Selection!$S:$S,Selection!$A:$A,$A6),"-","")/INDEX($K:$K,ROWS($K:$K))</f>
        <v>0</v>
      </c>
      <c r="AQ6" s="149">
        <f t="shared" si="19"/>
        <v>0</v>
      </c>
      <c r="AR6" s="146">
        <f t="shared" si="20"/>
        <v>0</v>
      </c>
      <c r="AS6" s="140">
        <f t="shared" si="21"/>
        <v>0</v>
      </c>
      <c r="AT6" s="145">
        <f t="array" ref="AT6">$L6/(1+MAXIFS(Selection!$O:$O,Selection!$F:$F,$D6))*IF($K6,INDEX($K:$K,ROWS($K:$K)),1)</f>
        <v>102.949909</v>
      </c>
      <c r="AU6" s="146">
        <f>($L6-$AT6)*(AVERAGE(AllocationHistoric!B:B)*$AK6/$AT6)+SUMIFS(Historic!G:G,Historic!D:D,"=DIVIDEND",Historic!B:B,"=" &amp; $E6)</f>
        <v>261.8355665</v>
      </c>
      <c r="AV6" s="146">
        <f>MAXIFS(Selection!T:T,Selection!$F:$F,$D6)</f>
        <v>156.4786491</v>
      </c>
      <c r="AW6" s="9">
        <f>MAXIFS(Selection!U:U,Selection!$F:$F,$D6)</f>
        <v>0.02597453799</v>
      </c>
      <c r="AX6" s="9">
        <f>SUMIF(Dividend!$B:$B,"=" &amp; $E6,Dividend!$G:$G)/Dashboard!$B$30</f>
        <v>0</v>
      </c>
      <c r="AY6" s="150">
        <f t="shared" si="22"/>
        <v>2042.31</v>
      </c>
      <c r="AZ6" s="157">
        <f t="array" ref="AZ6">IF(ABS((-INDEX(Evolution!$N:$R,2,ROW()-1)-$AL6*5)*$M6)&gt;=1,(-INDEX(Evolution!$N:$R,2,ROW()-1)-$AL6*5)*$M6,0)</f>
        <v>415.0788348</v>
      </c>
      <c r="BA6" s="152">
        <f t="shared" si="23"/>
        <v>17843.34</v>
      </c>
      <c r="BB6" s="158">
        <f t="shared" si="24"/>
        <v>0</v>
      </c>
    </row>
    <row r="7">
      <c r="A7" s="159" t="s">
        <v>359</v>
      </c>
      <c r="B7" s="160"/>
      <c r="C7" s="160" t="s">
        <v>360</v>
      </c>
      <c r="D7" s="161" t="s">
        <v>361</v>
      </c>
      <c r="E7" s="161" t="s">
        <v>361</v>
      </c>
      <c r="F7" s="162">
        <f>SUM(F1:F6)</f>
        <v>1</v>
      </c>
      <c r="G7" s="163">
        <f>SUMPRODUCT(G2:G6,AK2:AK6)</f>
        <v>0.001963337453</v>
      </c>
      <c r="H7" s="164"/>
      <c r="I7" s="164"/>
      <c r="J7" s="165"/>
      <c r="K7" s="166">
        <f>J2*K2/289037.73</f>
        <v>1.139600007</v>
      </c>
      <c r="L7" s="167">
        <v>1.1416</v>
      </c>
      <c r="M7" s="168">
        <f>SUM(M1:M6)</f>
        <v>731115.8</v>
      </c>
      <c r="N7" s="169">
        <f>SUM(N1:N6)+$AF$7</f>
        <v>735824.974</v>
      </c>
      <c r="O7" s="170">
        <f>Dashboard!B34+MIN(MAX(Allocation!B$12,Allocation!B$14),Allocation!B$13)+Dashboard!B23+Dashboard!B54+$AS$7</f>
        <v>753741.4332</v>
      </c>
      <c r="P7" s="169">
        <f>SUM(P1:P6)</f>
        <v>5091.1</v>
      </c>
      <c r="Q7" s="168"/>
      <c r="R7" s="168"/>
      <c r="S7" s="168">
        <f>SUM(S1:S6)</f>
        <v>12109.76474</v>
      </c>
      <c r="T7" s="171">
        <f>$O$7-$N$7-SUM(ROUNDDOWN(($O2-$N2)/$L2)*$L2,ROUNDDOWN(($O3-$N3)/$L3)*$L3,ROUNDDOWN(($O4-$N4)/$L4)*$L4,ROUNDDOWN(($O5-$N5)/$L5)*$L5,ROUNDDOWN(($O6-$N6)/$L6)*$L6)</f>
        <v>223.3164818</v>
      </c>
      <c r="U7" s="169"/>
      <c r="V7" s="169"/>
      <c r="W7" s="170">
        <f>SUM(W1:W6)</f>
        <v>1146.544054</v>
      </c>
      <c r="X7" s="163">
        <f>IF(AND(W7=0,$M7=0),0,IF(AND(W7/$M7&gt;-1,W7/$M7&lt;1),W7/$M7,W7/#REF!))</f>
        <v>0.001568211292</v>
      </c>
      <c r="Y7" s="168">
        <f>SUM(Y1:Y6)</f>
        <v>10222.8</v>
      </c>
      <c r="Z7" s="163">
        <f>IF(AND(Y7=0,$M7=0),0,IF(AND(Y7/$M7&gt;-1,Y7/$M7&lt;1),Y7/$M7,Y7/#REF!))</f>
        <v>0.01398246352</v>
      </c>
      <c r="AA7" s="168">
        <f>SUM(AA1:AA6)</f>
        <v>4709.174</v>
      </c>
      <c r="AB7" s="163">
        <f t="shared" si="12"/>
        <v>0.006441078144</v>
      </c>
      <c r="AC7" s="172">
        <f>SUM(AC1:AC6)</f>
        <v>14931.974</v>
      </c>
      <c r="AD7" s="163">
        <f>IF(AND(AC7=0,$M7=0),0,IF(AND(AC7/$M7&gt;-1,AC7/$M7&lt;1),AC7/$M7,AC7/#REF!))</f>
        <v>0.02042354166</v>
      </c>
      <c r="AE7" s="169"/>
      <c r="AF7" s="143">
        <v>0.0</v>
      </c>
      <c r="AG7" s="173" t="str">
        <f>TEXT(NOW()-MAX(Selection!L:L),"h:mm:ss")</f>
        <v>23:32:12</v>
      </c>
      <c r="AH7" s="174"/>
      <c r="AI7" s="168"/>
      <c r="AJ7" s="168"/>
      <c r="AK7" s="175" t="s">
        <v>362</v>
      </c>
      <c r="AL7" s="176">
        <f>IFERROR(__xludf.DUMMYFUNCTION("SUMIFS(Historic!G:G,Historic!D:D,""=COST"",Historic!B:B,"""",Historic!A:A,""&gt;="" &amp; TO_DATE(INDEX(Evolution!A:A, ROWS(Evolution!A:A))))"),-4981.570000000027)</f>
        <v>-4981.57</v>
      </c>
      <c r="AM7" s="177"/>
      <c r="AN7" s="177"/>
      <c r="AO7" s="178"/>
      <c r="AP7" s="174"/>
      <c r="AQ7" s="179"/>
      <c r="AR7" s="176">
        <f t="shared" ref="AR7:AS7" si="28">SUM(AR1:AR6)</f>
        <v>1239.747094</v>
      </c>
      <c r="AS7" s="153">
        <f t="shared" si="28"/>
        <v>1023.993403</v>
      </c>
      <c r="AT7" s="180"/>
      <c r="AU7" s="168">
        <f t="shared" ref="AU7:AW7" si="29">SUM(AU1:AU6)</f>
        <v>13750.82153</v>
      </c>
      <c r="AV7" s="168">
        <f t="shared" si="29"/>
        <v>3759.210748</v>
      </c>
      <c r="AW7" s="163">
        <f t="shared" si="29"/>
        <v>0.160877755</v>
      </c>
      <c r="AX7" s="181">
        <f>SUMPRODUCT(AX2:AX6,AK2:AK6)</f>
        <v>0.01793560498</v>
      </c>
      <c r="AY7" s="182">
        <f t="shared" ref="AY7:AZ7" si="30">SUM(AY1:AY6)</f>
        <v>17693.14275</v>
      </c>
      <c r="AZ7" s="152">
        <f t="shared" si="30"/>
        <v>407.4393955</v>
      </c>
      <c r="BA7" s="182">
        <f>O7-N7</f>
        <v>17916.45924</v>
      </c>
      <c r="BB7" s="152">
        <f>SUM(BB1:BB6)</f>
        <v>12109.76474</v>
      </c>
    </row>
  </sheetData>
  <conditionalFormatting sqref="AL2:AL6">
    <cfRule type="cellIs" dxfId="5" priority="1" operator="lessThan">
      <formula>-0.03</formula>
    </cfRule>
  </conditionalFormatting>
  <conditionalFormatting sqref="AL2:AL6">
    <cfRule type="cellIs" dxfId="6" priority="2" operator="greaterThan">
      <formula>0.03</formula>
    </cfRule>
  </conditionalFormatting>
  <conditionalFormatting sqref="S2:S6">
    <cfRule type="expression" dxfId="0" priority="3">
      <formula>AND(ABS(S2)&gt;=1000,LEFT(V2,3)&lt;&gt;"MID")</formula>
    </cfRule>
  </conditionalFormatting>
  <conditionalFormatting sqref="W2:AD7 AS2:AS7">
    <cfRule type="cellIs" dxfId="7" priority="4" operator="greaterThan">
      <formula>0</formula>
    </cfRule>
  </conditionalFormatting>
  <conditionalFormatting sqref="W2:AD7 AS2:AS7">
    <cfRule type="cellIs" dxfId="8" priority="5" operator="lessThan">
      <formula>0</formula>
    </cfRule>
  </conditionalFormatting>
  <conditionalFormatting sqref="B2:B6">
    <cfRule type="expression" dxfId="5" priority="6">
      <formula>B2&lt;&gt;A2</formula>
    </cfRule>
  </conditionalFormatting>
  <conditionalFormatting sqref="U2:V6">
    <cfRule type="beginsWith" dxfId="9" priority="7" operator="beginsWith" text="SELL">
      <formula>LEFT((U2),LEN("SELL"))=("SELL")</formula>
    </cfRule>
  </conditionalFormatting>
  <conditionalFormatting sqref="U2:V6">
    <cfRule type="beginsWith" dxfId="10" priority="8" operator="beginsWith" text="BUY">
      <formula>LEFT((U2),LEN("BUY"))=("BUY")</formula>
    </cfRule>
  </conditionalFormatting>
  <conditionalFormatting sqref="W1:AD7 AS2:AS7">
    <cfRule type="cellIs" dxfId="11" priority="9" operator="equal">
      <formula>0</formula>
    </cfRule>
  </conditionalFormatting>
  <conditionalFormatting sqref="AJ1:AJ7">
    <cfRule type="cellIs" dxfId="12" priority="10" operator="greaterThan">
      <formula>0</formula>
    </cfRule>
  </conditionalFormatting>
  <conditionalFormatting sqref="AJ1:AJ7">
    <cfRule type="cellIs" dxfId="13" priority="11" operator="lessThan">
      <formula>0</formula>
    </cfRule>
  </conditionalFormatting>
  <conditionalFormatting sqref="R2:R6">
    <cfRule type="expression" dxfId="0" priority="12">
      <formula>AND(R2&lt;&gt;0,LEFT(V2,3)&lt;&gt;"MID")</formula>
    </cfRule>
  </conditionalFormatting>
  <conditionalFormatting sqref="R2:S6">
    <cfRule type="cellIs" dxfId="14" priority="13" operator="equal">
      <formula>0</formula>
    </cfRule>
  </conditionalFormatting>
  <dataValidations>
    <dataValidation type="list" allowBlank="1" showErrorMessage="1" sqref="A2">
      <formula1>Selection!$A$2:$A$6</formula1>
    </dataValidation>
    <dataValidation type="list" allowBlank="1" showErrorMessage="1" sqref="A4">
      <formula1>Selection!$A$21:$A$23</formula1>
    </dataValidation>
    <dataValidation type="list" allowBlank="1" showErrorMessage="1" sqref="A6">
      <formula1>Selection!$A$30:$A$36</formula1>
    </dataValidation>
    <dataValidation type="list" allowBlank="1" showErrorMessage="1" sqref="A3">
      <formula1>Selection!$A$7:$A$20</formula1>
    </dataValidation>
    <dataValidation type="list" allowBlank="1" showErrorMessage="1" sqref="A5">
      <formula1>Selection!$A$24:$A$29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1.57"/>
    <col customWidth="1" hidden="1" min="8" max="8" width="40.43"/>
    <col customWidth="1" min="9" max="9" width="12.43"/>
    <col customWidth="1" min="10" max="10" width="30.14"/>
    <col customWidth="1" min="11" max="11" width="6.29"/>
    <col customWidth="1" min="12" max="12" width="10.57"/>
    <col customWidth="1" min="13" max="13" width="16.0"/>
    <col customWidth="1" min="14" max="14" width="41.71"/>
    <col customWidth="1" min="15" max="15" width="6.29"/>
    <col customWidth="1" min="16" max="16" width="13.14"/>
  </cols>
  <sheetData>
    <row r="1">
      <c r="A1" s="17" t="s">
        <v>27</v>
      </c>
      <c r="B1" s="17" t="s">
        <v>36</v>
      </c>
      <c r="C1" s="20" t="s">
        <v>11</v>
      </c>
      <c r="D1" s="17" t="s">
        <v>47</v>
      </c>
      <c r="E1" s="17" t="s">
        <v>48</v>
      </c>
      <c r="F1" s="17" t="s">
        <v>49</v>
      </c>
      <c r="G1" s="23" t="s">
        <v>50</v>
      </c>
      <c r="H1" s="25" t="s">
        <v>46</v>
      </c>
      <c r="I1" s="23" t="s">
        <v>363</v>
      </c>
      <c r="J1" s="183"/>
      <c r="K1" s="184"/>
      <c r="L1" s="185"/>
      <c r="M1" s="186">
        <f>SUMIFS(P:P,O:O,"=0")</f>
        <v>-20937.73</v>
      </c>
      <c r="N1" s="187" t="str">
        <f>IFERROR(__xludf.DUMMYFUNCTION("UNIQUE(J:L)"),"")</f>
        <v/>
      </c>
      <c r="O1" s="188" t="str">
        <f>IFERROR(__xludf.DUMMYFUNCTION("""COMPUTED_VALUE"""),"")</f>
        <v/>
      </c>
      <c r="P1" s="189" t="str">
        <f>IFERROR(__xludf.DUMMYFUNCTION("""COMPUTED_VALUE"""),"")</f>
        <v/>
      </c>
    </row>
    <row r="2">
      <c r="A2" s="7">
        <v>43469.0</v>
      </c>
      <c r="B2" s="10"/>
      <c r="C2" s="10"/>
      <c r="D2" s="10" t="s">
        <v>364</v>
      </c>
      <c r="E2" s="32"/>
      <c r="F2" s="190"/>
      <c r="G2" s="191">
        <v>-1500.0</v>
      </c>
      <c r="H2" s="192" t="s">
        <v>365</v>
      </c>
      <c r="I2" s="193" t="str">
        <f t="shared" ref="I2:I499" si="1">IF(AND(B2&lt;&gt;"",E2&lt;&gt;""),E2*INDEX(M:M,MATCH(C2,N:N,0),1)+G2,"")</f>
        <v/>
      </c>
      <c r="J2" s="193" t="str">
        <f t="shared" ref="J2:J499" si="2">C2</f>
        <v/>
      </c>
      <c r="K2" s="126" t="str">
        <f t="shared" ref="K2:K499" si="3">IF($J2&lt;&gt;"", SUMIF($J:$J, $J2, E:E), "")</f>
        <v/>
      </c>
      <c r="L2" s="194" t="str">
        <f t="shared" ref="L2:L499" si="4">IF($J2&lt;&gt;"", SUMIF($J:$J, $J2, G:G), "")</f>
        <v/>
      </c>
      <c r="M2" s="195" t="str">
        <f>IF(AND($N2&lt;&gt;"",$O2&lt;&gt;0),MAXIFS(Investment!$L:$L,Investment!$D:$D,$N2),"")</f>
        <v/>
      </c>
      <c r="N2" s="193" t="str">
        <f>IFERROR(__xludf.DUMMYFUNCTION("""COMPUTED_VALUE"""),"")</f>
        <v/>
      </c>
      <c r="O2" s="144" t="str">
        <f>IFERROR(__xludf.DUMMYFUNCTION("""COMPUTED_VALUE"""),"")</f>
        <v/>
      </c>
      <c r="P2" s="196" t="str">
        <f>IFERROR(__xludf.DUMMYFUNCTION("""COMPUTED_VALUE"""),"")</f>
        <v/>
      </c>
    </row>
    <row r="3">
      <c r="A3" s="7">
        <v>43467.0</v>
      </c>
      <c r="B3" s="10"/>
      <c r="C3" s="10"/>
      <c r="D3" s="10" t="s">
        <v>362</v>
      </c>
      <c r="E3" s="32"/>
      <c r="F3" s="190"/>
      <c r="G3" s="191">
        <v>-534.69</v>
      </c>
      <c r="H3" s="192" t="s">
        <v>366</v>
      </c>
      <c r="I3" s="193" t="str">
        <f t="shared" si="1"/>
        <v/>
      </c>
      <c r="J3" s="193" t="str">
        <f t="shared" si="2"/>
        <v/>
      </c>
      <c r="K3" s="126" t="str">
        <f t="shared" si="3"/>
        <v/>
      </c>
      <c r="L3" s="194" t="str">
        <f t="shared" si="4"/>
        <v/>
      </c>
      <c r="M3" s="195">
        <f>IF(AND($N3&lt;&gt;"",$O3&lt;&gt;0),MAXIFS(Investment!$L:$L,Investment!$D:$D,$N3),"")</f>
        <v>6.962</v>
      </c>
      <c r="N3" s="193" t="str">
        <f>IFERROR(__xludf.DUMMYFUNCTION("""COMPUTED_VALUE"""),"ETFS All Commodities")</f>
        <v>ETFS All Commodities</v>
      </c>
      <c r="O3" s="144">
        <f>IFERROR(__xludf.DUMMYFUNCTION("""COMPUTED_VALUE"""),8201.0)</f>
        <v>8201</v>
      </c>
      <c r="P3" s="196">
        <f>IFERROR(__xludf.DUMMYFUNCTION("""COMPUTED_VALUE"""),-60467.84)</f>
        <v>-60467.84</v>
      </c>
    </row>
    <row r="4">
      <c r="A4" s="7">
        <v>43467.0</v>
      </c>
      <c r="B4" s="10" t="s">
        <v>367</v>
      </c>
      <c r="C4" s="10" t="s">
        <v>368</v>
      </c>
      <c r="D4" s="10" t="s">
        <v>369</v>
      </c>
      <c r="E4" s="32">
        <v>300.0</v>
      </c>
      <c r="F4" s="190">
        <v>6.82</v>
      </c>
      <c r="G4" s="191">
        <v>-2046.0</v>
      </c>
      <c r="H4" s="192" t="s">
        <v>370</v>
      </c>
      <c r="I4" s="193">
        <f t="shared" si="1"/>
        <v>42.6</v>
      </c>
      <c r="J4" s="193" t="str">
        <f t="shared" si="2"/>
        <v>ETFS All Commodities</v>
      </c>
      <c r="K4" s="126">
        <f t="shared" si="3"/>
        <v>8201</v>
      </c>
      <c r="L4" s="194">
        <f t="shared" si="4"/>
        <v>-60467.84</v>
      </c>
      <c r="M4" s="195">
        <f>IF(AND($N4&lt;&gt;"",$O4&lt;&gt;0),MAXIFS(Investment!$L:$L,Investment!$D:$D,$N4),"")</f>
        <v>41.848</v>
      </c>
      <c r="N4" s="193" t="str">
        <f>IFERROR(__xludf.DUMMYFUNCTION("""COMPUTED_VALUE"""),"Vanguard S&amp;P 500 UCITS ETF")</f>
        <v>Vanguard S&amp;P 500 UCITS ETF</v>
      </c>
      <c r="O4" s="144">
        <f>IFERROR(__xludf.DUMMYFUNCTION("""COMPUTED_VALUE"""),5439.0)</f>
        <v>5439</v>
      </c>
      <c r="P4" s="196">
        <f>IFERROR(__xludf.DUMMYFUNCTION("""COMPUTED_VALUE"""),-238297.5700000001)</f>
        <v>-238297.57</v>
      </c>
    </row>
    <row r="5">
      <c r="A5" s="7">
        <v>43467.0</v>
      </c>
      <c r="B5" s="10" t="s">
        <v>371</v>
      </c>
      <c r="C5" s="10" t="s">
        <v>372</v>
      </c>
      <c r="D5" s="10" t="s">
        <v>369</v>
      </c>
      <c r="E5" s="32">
        <v>74.0</v>
      </c>
      <c r="F5" s="190">
        <v>41.15</v>
      </c>
      <c r="G5" s="191">
        <v>-3045.1</v>
      </c>
      <c r="H5" s="192" t="s">
        <v>373</v>
      </c>
      <c r="I5" s="193">
        <f t="shared" si="1"/>
        <v>51.652</v>
      </c>
      <c r="J5" s="193" t="str">
        <f t="shared" si="2"/>
        <v>Vanguard S&amp;P 500 UCITS ETF</v>
      </c>
      <c r="K5" s="126">
        <f t="shared" si="3"/>
        <v>5439</v>
      </c>
      <c r="L5" s="194">
        <f t="shared" si="4"/>
        <v>-238297.57</v>
      </c>
      <c r="M5" s="195">
        <f>IF(AND($N5&lt;&gt;"",$O5&lt;&gt;0),MAXIFS(Investment!$L:$L,Investment!$D:$D,$N5),"")</f>
        <v>4.000965228</v>
      </c>
      <c r="N5" s="193" t="str">
        <f>IFERROR(__xludf.DUMMYFUNCTION("""COMPUTED_VALUE"""),"iShares USD Treasury Bond 20+yr UCITS ETF")</f>
        <v>iShares USD Treasury Bond 20+yr UCITS ETF</v>
      </c>
      <c r="O5" s="144">
        <f>IFERROR(__xludf.DUMMYFUNCTION("""COMPUTED_VALUE"""),72242.0)</f>
        <v>72242</v>
      </c>
      <c r="P5" s="196">
        <f>IFERROR(__xludf.DUMMYFUNCTION("""COMPUTED_VALUE"""),-269859.85000000003)</f>
        <v>-269859.85</v>
      </c>
    </row>
    <row r="6">
      <c r="A6" s="7">
        <v>43464.0</v>
      </c>
      <c r="B6" s="10" t="s">
        <v>374</v>
      </c>
      <c r="C6" s="10" t="s">
        <v>375</v>
      </c>
      <c r="D6" s="10" t="s">
        <v>376</v>
      </c>
      <c r="E6" s="32"/>
      <c r="F6" s="190"/>
      <c r="G6" s="191">
        <v>4867.15</v>
      </c>
      <c r="H6" s="192" t="s">
        <v>377</v>
      </c>
      <c r="I6" s="193" t="str">
        <f t="shared" si="1"/>
        <v/>
      </c>
      <c r="J6" s="193" t="str">
        <f t="shared" si="2"/>
        <v>iShares USD Treasury Bond 20+yr UCITS ETF</v>
      </c>
      <c r="K6" s="126">
        <f t="shared" si="3"/>
        <v>72242</v>
      </c>
      <c r="L6" s="194">
        <f t="shared" si="4"/>
        <v>-269859.85</v>
      </c>
      <c r="M6" s="195">
        <f>IF(AND($N6&lt;&gt;"",$O6&lt;&gt;0),MAXIFS(Investment!$L:$L,Investment!$D:$D,$N6),"")</f>
        <v>168.53</v>
      </c>
      <c r="N6" s="193" t="str">
        <f>IFERROR(__xludf.DUMMYFUNCTION("""COMPUTED_VALUE"""),"iShares USD Treasury Bond 7-10yr UCITS ETF USD Dist")</f>
        <v>iShares USD Treasury Bond 7-10yr UCITS ETF USD Dist</v>
      </c>
      <c r="O6" s="144">
        <f>IFERROR(__xludf.DUMMYFUNCTION("""COMPUTED_VALUE"""),639.0)</f>
        <v>639</v>
      </c>
      <c r="P6" s="196">
        <f>IFERROR(__xludf.DUMMYFUNCTION("""COMPUTED_VALUE"""),-100085.66)</f>
        <v>-100085.66</v>
      </c>
    </row>
    <row r="7">
      <c r="A7" s="7">
        <v>43465.0</v>
      </c>
      <c r="B7" s="10" t="s">
        <v>374</v>
      </c>
      <c r="C7" s="10" t="s">
        <v>375</v>
      </c>
      <c r="D7" s="10" t="s">
        <v>376</v>
      </c>
      <c r="E7" s="32"/>
      <c r="F7" s="190"/>
      <c r="G7" s="191">
        <v>-618.49</v>
      </c>
      <c r="H7" s="192" t="s">
        <v>378</v>
      </c>
      <c r="I7" s="193" t="str">
        <f t="shared" si="1"/>
        <v/>
      </c>
      <c r="J7" s="193" t="str">
        <f t="shared" si="2"/>
        <v>iShares USD Treasury Bond 20+yr UCITS ETF</v>
      </c>
      <c r="K7" s="126">
        <f t="shared" si="3"/>
        <v>72242</v>
      </c>
      <c r="L7" s="194">
        <f t="shared" si="4"/>
        <v>-269859.85</v>
      </c>
      <c r="M7" s="195">
        <f>IF(AND($N7&lt;&gt;"",$O7&lt;&gt;0),MAXIFS(Investment!$L:$L,Investment!$D:$D,$N7),"")</f>
        <v>107.49</v>
      </c>
      <c r="N7" s="193" t="str">
        <f>IFERROR(__xludf.DUMMYFUNCTION("""COMPUTED_VALUE"""),"ETFS Physical Gold")</f>
        <v>ETFS Physical Gold</v>
      </c>
      <c r="O7" s="144">
        <f>IFERROR(__xludf.DUMMYFUNCTION("""COMPUTED_VALUE"""),506.0)</f>
        <v>506</v>
      </c>
      <c r="P7" s="196">
        <f>IFERROR(__xludf.DUMMYFUNCTION("""COMPUTED_VALUE"""),-52182.08)</f>
        <v>-52182.08</v>
      </c>
    </row>
    <row r="8">
      <c r="A8" s="7">
        <v>43461.0</v>
      </c>
      <c r="B8" s="10" t="s">
        <v>379</v>
      </c>
      <c r="C8" s="10" t="s">
        <v>380</v>
      </c>
      <c r="D8" s="10" t="s">
        <v>381</v>
      </c>
      <c r="E8" s="32">
        <v>-2.0</v>
      </c>
      <c r="F8" s="190">
        <v>166.98</v>
      </c>
      <c r="G8" s="191">
        <v>333.96</v>
      </c>
      <c r="H8" s="192" t="s">
        <v>382</v>
      </c>
      <c r="I8" s="193">
        <f t="shared" si="1"/>
        <v>-3.1</v>
      </c>
      <c r="J8" s="193" t="str">
        <f t="shared" si="2"/>
        <v>iShares USD Treasury Bond 7-10yr UCITS ETF USD Dist</v>
      </c>
      <c r="K8" s="126">
        <f t="shared" si="3"/>
        <v>639</v>
      </c>
      <c r="L8" s="194">
        <f t="shared" si="4"/>
        <v>-100085.66</v>
      </c>
      <c r="M8" s="195" t="str">
        <f>IF(AND($N8&lt;&gt;"",$O8&lt;&gt;0),MAXIFS(Investment!$L:$L,Investment!$D:$D,$N8),"")</f>
        <v/>
      </c>
      <c r="N8" s="193" t="str">
        <f>IFERROR(__xludf.DUMMYFUNCTION("""COMPUTED_VALUE"""),"Vanguard Extended Duration Treasury ETF")</f>
        <v>Vanguard Extended Duration Treasury ETF</v>
      </c>
      <c r="O8" s="144">
        <f>IFERROR(__xludf.DUMMYFUNCTION("""COMPUTED_VALUE"""),0.0)</f>
        <v>0</v>
      </c>
      <c r="P8" s="196">
        <f>IFERROR(__xludf.DUMMYFUNCTION("""COMPUTED_VALUE"""),-4941.3600000000115)</f>
        <v>-4941.36</v>
      </c>
    </row>
    <row r="9">
      <c r="A9" s="7">
        <v>43461.0</v>
      </c>
      <c r="B9" s="10" t="s">
        <v>379</v>
      </c>
      <c r="C9" s="10" t="s">
        <v>380</v>
      </c>
      <c r="D9" s="10" t="s">
        <v>381</v>
      </c>
      <c r="E9" s="32">
        <v>-5.0</v>
      </c>
      <c r="F9" s="190">
        <v>166.98</v>
      </c>
      <c r="G9" s="191">
        <v>834.9</v>
      </c>
      <c r="H9" s="192" t="s">
        <v>383</v>
      </c>
      <c r="I9" s="193">
        <f t="shared" si="1"/>
        <v>-7.75</v>
      </c>
      <c r="J9" s="193" t="str">
        <f t="shared" si="2"/>
        <v>iShares USD Treasury Bond 7-10yr UCITS ETF USD Dist</v>
      </c>
      <c r="K9" s="126">
        <f t="shared" si="3"/>
        <v>639</v>
      </c>
      <c r="L9" s="194">
        <f t="shared" si="4"/>
        <v>-100085.66</v>
      </c>
      <c r="M9" s="195" t="str">
        <f>IF(AND($N9&lt;&gt;"",$O9&lt;&gt;0),MAXIFS(Investment!$L:$L,Investment!$D:$D,$N9),"")</f>
        <v/>
      </c>
      <c r="N9" s="193" t="str">
        <f>IFERROR(__xludf.DUMMYFUNCTION("""COMPUTED_VALUE"""),"Vanguard Intermediate-Term Treasury ETF")</f>
        <v>Vanguard Intermediate-Term Treasury ETF</v>
      </c>
      <c r="O9" s="144">
        <f>IFERROR(__xludf.DUMMYFUNCTION("""COMPUTED_VALUE"""),0.0)</f>
        <v>0</v>
      </c>
      <c r="P9" s="196">
        <f>IFERROR(__xludf.DUMMYFUNCTION("""COMPUTED_VALUE"""),-1817.4799999999955)</f>
        <v>-1817.48</v>
      </c>
    </row>
    <row r="10">
      <c r="A10" s="7">
        <v>43461.0</v>
      </c>
      <c r="B10" s="10" t="s">
        <v>379</v>
      </c>
      <c r="C10" s="10" t="s">
        <v>380</v>
      </c>
      <c r="D10" s="10" t="s">
        <v>381</v>
      </c>
      <c r="E10" s="32">
        <v>-9.0</v>
      </c>
      <c r="F10" s="190">
        <v>166.95</v>
      </c>
      <c r="G10" s="191">
        <v>1502.55</v>
      </c>
      <c r="H10" s="192" t="s">
        <v>384</v>
      </c>
      <c r="I10" s="193">
        <f t="shared" si="1"/>
        <v>-14.22</v>
      </c>
      <c r="J10" s="193" t="str">
        <f t="shared" si="2"/>
        <v>iShares USD Treasury Bond 7-10yr UCITS ETF USD Dist</v>
      </c>
      <c r="K10" s="126">
        <f t="shared" si="3"/>
        <v>639</v>
      </c>
      <c r="L10" s="194">
        <f t="shared" si="4"/>
        <v>-100085.66</v>
      </c>
      <c r="M10" s="195" t="str">
        <f>IF(AND($N10&lt;&gt;"",$O10&lt;&gt;0),MAXIFS(Investment!$L:$L,Investment!$D:$D,$N10),"")</f>
        <v/>
      </c>
      <c r="N10" s="193" t="str">
        <f>IFERROR(__xludf.DUMMYFUNCTION("""COMPUTED_VALUE"""),"iShares Gold Trust")</f>
        <v>iShares Gold Trust</v>
      </c>
      <c r="O10" s="144">
        <f>IFERROR(__xludf.DUMMYFUNCTION("""COMPUTED_VALUE"""),0.0)</f>
        <v>0</v>
      </c>
      <c r="P10" s="196">
        <f>IFERROR(__xludf.DUMMYFUNCTION("""COMPUTED_VALUE"""),140.22999999999956)</f>
        <v>140.23</v>
      </c>
    </row>
    <row r="11">
      <c r="A11" s="7">
        <v>43461.0</v>
      </c>
      <c r="B11" s="10" t="s">
        <v>385</v>
      </c>
      <c r="C11" s="10" t="s">
        <v>386</v>
      </c>
      <c r="D11" s="10" t="s">
        <v>381</v>
      </c>
      <c r="E11" s="32">
        <v>-11.0</v>
      </c>
      <c r="F11" s="190">
        <v>106.6</v>
      </c>
      <c r="G11" s="191">
        <v>1172.6</v>
      </c>
      <c r="H11" s="192" t="s">
        <v>387</v>
      </c>
      <c r="I11" s="193">
        <f t="shared" si="1"/>
        <v>-9.79</v>
      </c>
      <c r="J11" s="193" t="str">
        <f t="shared" si="2"/>
        <v>ETFS Physical Gold</v>
      </c>
      <c r="K11" s="126">
        <f t="shared" si="3"/>
        <v>506</v>
      </c>
      <c r="L11" s="194">
        <f t="shared" si="4"/>
        <v>-52182.08</v>
      </c>
      <c r="M11" s="195" t="str">
        <f>IF(AND($N11&lt;&gt;"",$O11&lt;&gt;0),MAXIFS(Investment!$L:$L,Investment!$D:$D,$N11),"")</f>
        <v/>
      </c>
      <c r="N11" s="193" t="str">
        <f>IFERROR(__xludf.DUMMYFUNCTION("""COMPUTED_VALUE"""),"iShares 7-10 Year Treasury Bond ETF")</f>
        <v>iShares 7-10 Year Treasury Bond ETF</v>
      </c>
      <c r="O11" s="144">
        <f>IFERROR(__xludf.DUMMYFUNCTION("""COMPUTED_VALUE"""),0.0)</f>
        <v>0</v>
      </c>
      <c r="P11" s="196">
        <f>IFERROR(__xludf.DUMMYFUNCTION("""COMPUTED_VALUE"""),-345.82000000000244)</f>
        <v>-345.82</v>
      </c>
    </row>
    <row r="12">
      <c r="A12" s="7">
        <v>43461.0</v>
      </c>
      <c r="B12" s="10" t="s">
        <v>374</v>
      </c>
      <c r="C12" s="10" t="s">
        <v>375</v>
      </c>
      <c r="D12" s="10" t="s">
        <v>362</v>
      </c>
      <c r="E12" s="32"/>
      <c r="F12" s="190"/>
      <c r="G12" s="191">
        <v>-2.28</v>
      </c>
      <c r="H12" s="192" t="s">
        <v>388</v>
      </c>
      <c r="I12" s="193" t="str">
        <f t="shared" si="1"/>
        <v/>
      </c>
      <c r="J12" s="193" t="str">
        <f t="shared" si="2"/>
        <v>iShares USD Treasury Bond 20+yr UCITS ETF</v>
      </c>
      <c r="K12" s="126">
        <f t="shared" si="3"/>
        <v>72242</v>
      </c>
      <c r="L12" s="194">
        <f t="shared" si="4"/>
        <v>-269859.85</v>
      </c>
      <c r="M12" s="195" t="str">
        <f>IF(AND($N12&lt;&gt;"",$O12&lt;&gt;0),MAXIFS(Investment!$L:$L,Investment!$D:$D,$N12),"")</f>
        <v/>
      </c>
      <c r="N12" s="193" t="str">
        <f>IFERROR(__xludf.DUMMYFUNCTION("""COMPUTED_VALUE"""),"iShares Diversified Commodity Swap UCITS ETF DE")</f>
        <v>iShares Diversified Commodity Swap UCITS ETF DE</v>
      </c>
      <c r="O12" s="144">
        <f>IFERROR(__xludf.DUMMYFUNCTION("""COMPUTED_VALUE"""),0.0)</f>
        <v>0</v>
      </c>
      <c r="P12" s="196">
        <f>IFERROR(__xludf.DUMMYFUNCTION("""COMPUTED_VALUE"""),-296.4199999999996)</f>
        <v>-296.42</v>
      </c>
    </row>
    <row r="13">
      <c r="A13" s="7">
        <v>43461.0</v>
      </c>
      <c r="B13" s="10" t="s">
        <v>374</v>
      </c>
      <c r="C13" s="10" t="s">
        <v>375</v>
      </c>
      <c r="D13" s="10" t="s">
        <v>381</v>
      </c>
      <c r="E13" s="32">
        <v>-355.0</v>
      </c>
      <c r="F13" s="190">
        <v>3.958</v>
      </c>
      <c r="G13" s="191">
        <v>1405.1</v>
      </c>
      <c r="H13" s="192" t="s">
        <v>389</v>
      </c>
      <c r="I13" s="193">
        <f t="shared" si="1"/>
        <v>-15.24265593</v>
      </c>
      <c r="J13" s="193" t="str">
        <f t="shared" si="2"/>
        <v>iShares USD Treasury Bond 20+yr UCITS ETF</v>
      </c>
      <c r="K13" s="126">
        <f t="shared" si="3"/>
        <v>72242</v>
      </c>
      <c r="L13" s="194">
        <f t="shared" si="4"/>
        <v>-269859.85</v>
      </c>
      <c r="M13" s="195" t="str">
        <f>IF(AND($N13&lt;&gt;"",$O13&lt;&gt;0),MAXIFS(Investment!$L:$L,Investment!$D:$D,$N13),"")</f>
        <v/>
      </c>
      <c r="N13" s="193" t="str">
        <f>IFERROR(__xludf.DUMMYFUNCTION("""COMPUTED_VALUE"""),"Vanguard Total Stock Market ETF")</f>
        <v>Vanguard Total Stock Market ETF</v>
      </c>
      <c r="O13" s="144">
        <f>IFERROR(__xludf.DUMMYFUNCTION("""COMPUTED_VALUE"""),0.0)</f>
        <v>0</v>
      </c>
      <c r="P13" s="196">
        <f>IFERROR(__xludf.DUMMYFUNCTION("""COMPUTED_VALUE"""),1880.340000000002)</f>
        <v>1880.34</v>
      </c>
    </row>
    <row r="14">
      <c r="A14" s="7">
        <v>43461.0</v>
      </c>
      <c r="B14" s="10" t="s">
        <v>374</v>
      </c>
      <c r="C14" s="10" t="s">
        <v>375</v>
      </c>
      <c r="D14" s="10" t="s">
        <v>362</v>
      </c>
      <c r="E14" s="32"/>
      <c r="F14" s="190"/>
      <c r="G14" s="191">
        <v>-0.55</v>
      </c>
      <c r="H14" s="192" t="s">
        <v>390</v>
      </c>
      <c r="I14" s="193" t="str">
        <f t="shared" si="1"/>
        <v/>
      </c>
      <c r="J14" s="193" t="str">
        <f t="shared" si="2"/>
        <v>iShares USD Treasury Bond 20+yr UCITS ETF</v>
      </c>
      <c r="K14" s="126">
        <f t="shared" si="3"/>
        <v>72242</v>
      </c>
      <c r="L14" s="194">
        <f t="shared" si="4"/>
        <v>-269859.85</v>
      </c>
      <c r="M14" s="195" t="str">
        <f>IF(AND($N14&lt;&gt;"",$O14&lt;&gt;0),MAXIFS(Investment!$L:$L,Investment!$D:$D,$N14),"")</f>
        <v/>
      </c>
      <c r="N14" s="193" t="str">
        <f>IFERROR(__xludf.DUMMYFUNCTION("""COMPUTED_VALUE"""),"TOTAL GABON")</f>
        <v>TOTAL GABON</v>
      </c>
      <c r="O14" s="144">
        <f>IFERROR(__xludf.DUMMYFUNCTION("""COMPUTED_VALUE"""),0.0)</f>
        <v>0</v>
      </c>
      <c r="P14" s="196">
        <f>IFERROR(__xludf.DUMMYFUNCTION("""COMPUTED_VALUE"""),-24138.28)</f>
        <v>-24138.28</v>
      </c>
    </row>
    <row r="15">
      <c r="A15" s="7">
        <v>43461.0</v>
      </c>
      <c r="B15" s="10" t="s">
        <v>374</v>
      </c>
      <c r="C15" s="10" t="s">
        <v>375</v>
      </c>
      <c r="D15" s="10" t="s">
        <v>381</v>
      </c>
      <c r="E15" s="32">
        <v>-691.0</v>
      </c>
      <c r="F15" s="190">
        <v>3.956</v>
      </c>
      <c r="G15" s="191">
        <v>2733.44</v>
      </c>
      <c r="H15" s="192" t="s">
        <v>391</v>
      </c>
      <c r="I15" s="193">
        <f t="shared" si="1"/>
        <v>-31.22697254</v>
      </c>
      <c r="J15" s="193" t="str">
        <f t="shared" si="2"/>
        <v>iShares USD Treasury Bond 20+yr UCITS ETF</v>
      </c>
      <c r="K15" s="126">
        <f t="shared" si="3"/>
        <v>72242</v>
      </c>
      <c r="L15" s="194">
        <f t="shared" si="4"/>
        <v>-269859.85</v>
      </c>
      <c r="M15" s="195" t="str">
        <f>IF(AND($N15&lt;&gt;"",$O15&lt;&gt;0),MAXIFS(Investment!$L:$L,Investment!$D:$D,$N15),"")</f>
        <v/>
      </c>
      <c r="N15" s="193" t="str">
        <f>IFERROR(__xludf.DUMMYFUNCTION("""COMPUTED_VALUE"""),"EDF")</f>
        <v>EDF</v>
      </c>
      <c r="O15" s="144">
        <f>IFERROR(__xludf.DUMMYFUNCTION("""COMPUTED_VALUE"""),0.0)</f>
        <v>0</v>
      </c>
      <c r="P15" s="196">
        <f>IFERROR(__xludf.DUMMYFUNCTION("""COMPUTED_VALUE"""),1451.9600000000005)</f>
        <v>1451.96</v>
      </c>
    </row>
    <row r="16">
      <c r="A16" s="7">
        <v>43455.0</v>
      </c>
      <c r="B16" s="10" t="s">
        <v>385</v>
      </c>
      <c r="C16" s="10" t="s">
        <v>386</v>
      </c>
      <c r="D16" s="10" t="s">
        <v>381</v>
      </c>
      <c r="E16" s="32">
        <v>-10.0</v>
      </c>
      <c r="F16" s="190">
        <v>105.65</v>
      </c>
      <c r="G16" s="191">
        <v>1056.5</v>
      </c>
      <c r="H16" s="192" t="s">
        <v>392</v>
      </c>
      <c r="I16" s="193">
        <f t="shared" si="1"/>
        <v>-18.4</v>
      </c>
      <c r="J16" s="193" t="str">
        <f t="shared" si="2"/>
        <v>ETFS Physical Gold</v>
      </c>
      <c r="K16" s="126">
        <f t="shared" si="3"/>
        <v>506</v>
      </c>
      <c r="L16" s="194">
        <f t="shared" si="4"/>
        <v>-52182.08</v>
      </c>
      <c r="M16" s="195" t="str">
        <f>IF(AND($N16&lt;&gt;"",$O16&lt;&gt;0),MAXIFS(Investment!$L:$L,Investment!$D:$D,$N16),"")</f>
        <v/>
      </c>
      <c r="N16" s="193" t="str">
        <f>IFERROR(__xludf.DUMMYFUNCTION("""COMPUTED_VALUE"""),"BOUYGUES")</f>
        <v>BOUYGUES</v>
      </c>
      <c r="O16" s="144">
        <f>IFERROR(__xludf.DUMMYFUNCTION("""COMPUTED_VALUE"""),0.0)</f>
        <v>0</v>
      </c>
      <c r="P16" s="196">
        <f>IFERROR(__xludf.DUMMYFUNCTION("""COMPUTED_VALUE"""),1091.52)</f>
        <v>1091.52</v>
      </c>
    </row>
    <row r="17">
      <c r="A17" s="7">
        <v>43455.0</v>
      </c>
      <c r="B17" s="10" t="s">
        <v>379</v>
      </c>
      <c r="C17" s="10" t="s">
        <v>380</v>
      </c>
      <c r="D17" s="10" t="s">
        <v>381</v>
      </c>
      <c r="E17" s="32">
        <v>-10.0</v>
      </c>
      <c r="F17" s="190">
        <v>166.55</v>
      </c>
      <c r="G17" s="191">
        <v>1665.5</v>
      </c>
      <c r="H17" s="192" t="s">
        <v>393</v>
      </c>
      <c r="I17" s="193">
        <f t="shared" si="1"/>
        <v>-19.8</v>
      </c>
      <c r="J17" s="193" t="str">
        <f t="shared" si="2"/>
        <v>iShares USD Treasury Bond 7-10yr UCITS ETF USD Dist</v>
      </c>
      <c r="K17" s="126">
        <f t="shared" si="3"/>
        <v>639</v>
      </c>
      <c r="L17" s="194">
        <f t="shared" si="4"/>
        <v>-100085.66</v>
      </c>
      <c r="M17" s="195" t="str">
        <f>IF(AND($N17&lt;&gt;"",$O17&lt;&gt;0),MAXIFS(Investment!$L:$L,Investment!$D:$D,$N17),"")</f>
        <v/>
      </c>
      <c r="N17" s="193" t="str">
        <f>IFERROR(__xludf.DUMMYFUNCTION("""COMPUTED_VALUE"""),"TECHNIP")</f>
        <v>TECHNIP</v>
      </c>
      <c r="O17" s="144">
        <f>IFERROR(__xludf.DUMMYFUNCTION("""COMPUTED_VALUE"""),0.0)</f>
        <v>0</v>
      </c>
      <c r="P17" s="196">
        <f>IFERROR(__xludf.DUMMYFUNCTION("""COMPUTED_VALUE"""),-690.0699999999999)</f>
        <v>-690.07</v>
      </c>
    </row>
    <row r="18">
      <c r="A18" s="7">
        <v>43454.0</v>
      </c>
      <c r="B18" s="10" t="s">
        <v>371</v>
      </c>
      <c r="C18" s="10" t="s">
        <v>372</v>
      </c>
      <c r="D18" s="10" t="s">
        <v>369</v>
      </c>
      <c r="E18" s="32">
        <v>100.0</v>
      </c>
      <c r="F18" s="190">
        <v>41.63</v>
      </c>
      <c r="G18" s="191">
        <v>-4163.0</v>
      </c>
      <c r="H18" s="192" t="s">
        <v>394</v>
      </c>
      <c r="I18" s="193">
        <f t="shared" si="1"/>
        <v>21.8</v>
      </c>
      <c r="J18" s="193" t="str">
        <f t="shared" si="2"/>
        <v>Vanguard S&amp;P 500 UCITS ETF</v>
      </c>
      <c r="K18" s="126">
        <f t="shared" si="3"/>
        <v>5439</v>
      </c>
      <c r="L18" s="194">
        <f t="shared" si="4"/>
        <v>-238297.57</v>
      </c>
      <c r="M18" s="195" t="str">
        <f>IF(AND($N18&lt;&gt;"",$O18&lt;&gt;0),MAXIFS(Investment!$L:$L,Investment!$D:$D,$N18),"")</f>
        <v/>
      </c>
      <c r="N18" s="193" t="str">
        <f>IFERROR(__xludf.DUMMYFUNCTION("""COMPUTED_VALUE"""),"STMICROELECTRONICS")</f>
        <v>STMICROELECTRONICS</v>
      </c>
      <c r="O18" s="144">
        <f>IFERROR(__xludf.DUMMYFUNCTION("""COMPUTED_VALUE"""),0.0)</f>
        <v>0</v>
      </c>
      <c r="P18" s="196">
        <f>IFERROR(__xludf.DUMMYFUNCTION("""COMPUTED_VALUE"""),1209.7000000000044)</f>
        <v>1209.7</v>
      </c>
    </row>
    <row r="19">
      <c r="A19" s="7">
        <v>43454.0</v>
      </c>
      <c r="B19" s="10" t="s">
        <v>371</v>
      </c>
      <c r="C19" s="10" t="s">
        <v>372</v>
      </c>
      <c r="D19" s="10" t="s">
        <v>362</v>
      </c>
      <c r="E19" s="32"/>
      <c r="F19" s="190"/>
      <c r="G19" s="191">
        <v>-2.83</v>
      </c>
      <c r="H19" s="192" t="s">
        <v>395</v>
      </c>
      <c r="I19" s="193" t="str">
        <f t="shared" si="1"/>
        <v/>
      </c>
      <c r="J19" s="193" t="str">
        <f t="shared" si="2"/>
        <v>Vanguard S&amp;P 500 UCITS ETF</v>
      </c>
      <c r="K19" s="126">
        <f t="shared" si="3"/>
        <v>5439</v>
      </c>
      <c r="L19" s="194">
        <f t="shared" si="4"/>
        <v>-238297.57</v>
      </c>
      <c r="M19" s="195" t="str">
        <f>IF(AND($N19&lt;&gt;"",$O19&lt;&gt;0),MAXIFS(Investment!$L:$L,Investment!$D:$D,$N19),"")</f>
        <v/>
      </c>
      <c r="N19" s="193" t="str">
        <f>IFERROR(__xludf.DUMMYFUNCTION("""COMPUTED_VALUE"""),"ALSTOM REGROUPT")</f>
        <v>ALSTOM REGROUPT</v>
      </c>
      <c r="O19" s="144">
        <f>IFERROR(__xludf.DUMMYFUNCTION("""COMPUTED_VALUE"""),0.0)</f>
        <v>0</v>
      </c>
      <c r="P19" s="196">
        <f>IFERROR(__xludf.DUMMYFUNCTION("""COMPUTED_VALUE"""),3485.4)</f>
        <v>3485.4</v>
      </c>
    </row>
    <row r="20">
      <c r="A20" s="7">
        <v>43454.0</v>
      </c>
      <c r="B20" s="10" t="s">
        <v>374</v>
      </c>
      <c r="C20" s="10" t="s">
        <v>375</v>
      </c>
      <c r="D20" s="10" t="s">
        <v>362</v>
      </c>
      <c r="E20" s="32"/>
      <c r="F20" s="190"/>
      <c r="G20" s="191">
        <v>-2.43</v>
      </c>
      <c r="H20" s="192" t="s">
        <v>396</v>
      </c>
      <c r="I20" s="193" t="str">
        <f t="shared" si="1"/>
        <v/>
      </c>
      <c r="J20" s="193" t="str">
        <f t="shared" si="2"/>
        <v>iShares USD Treasury Bond 20+yr UCITS ETF</v>
      </c>
      <c r="K20" s="126">
        <f t="shared" si="3"/>
        <v>72242</v>
      </c>
      <c r="L20" s="194">
        <f t="shared" si="4"/>
        <v>-269859.85</v>
      </c>
      <c r="M20" s="195" t="str">
        <f>IF(AND($N20&lt;&gt;"",$O20&lt;&gt;0),MAXIFS(Investment!$L:$L,Investment!$D:$D,$N20),"")</f>
        <v/>
      </c>
      <c r="N20" s="193" t="str">
        <f>IFERROR(__xludf.DUMMYFUNCTION("""COMPUTED_VALUE"""),"ANF IMMOBILIER")</f>
        <v>ANF IMMOBILIER</v>
      </c>
      <c r="O20" s="144">
        <f>IFERROR(__xludf.DUMMYFUNCTION("""COMPUTED_VALUE"""),0.0)</f>
        <v>0</v>
      </c>
      <c r="P20" s="196">
        <f>IFERROR(__xludf.DUMMYFUNCTION("""COMPUTED_VALUE"""),-5.5)</f>
        <v>-5.5</v>
      </c>
    </row>
    <row r="21">
      <c r="A21" s="7">
        <v>43454.0</v>
      </c>
      <c r="B21" s="10" t="s">
        <v>374</v>
      </c>
      <c r="C21" s="10" t="s">
        <v>375</v>
      </c>
      <c r="D21" s="10" t="s">
        <v>381</v>
      </c>
      <c r="E21" s="32">
        <v>-544.0</v>
      </c>
      <c r="F21" s="190">
        <v>3.971</v>
      </c>
      <c r="G21" s="191">
        <v>2160.24</v>
      </c>
      <c r="H21" s="192" t="s">
        <v>397</v>
      </c>
      <c r="I21" s="193">
        <f t="shared" si="1"/>
        <v>-16.28508402</v>
      </c>
      <c r="J21" s="193" t="str">
        <f t="shared" si="2"/>
        <v>iShares USD Treasury Bond 20+yr UCITS ETF</v>
      </c>
      <c r="K21" s="126">
        <f t="shared" si="3"/>
        <v>72242</v>
      </c>
      <c r="L21" s="194">
        <f t="shared" si="4"/>
        <v>-269859.85</v>
      </c>
      <c r="M21" s="195" t="str">
        <f>IF(AND($N21&lt;&gt;"",$O21&lt;&gt;0),MAXIFS(Investment!$L:$L,Investment!$D:$D,$N21),"")</f>
        <v/>
      </c>
      <c r="N21" s="193" t="str">
        <f>IFERROR(__xludf.DUMMYFUNCTION("""COMPUTED_VALUE"""),"SANOFI")</f>
        <v>SANOFI</v>
      </c>
      <c r="O21" s="144">
        <f>IFERROR(__xludf.DUMMYFUNCTION("""COMPUTED_VALUE"""),0.0)</f>
        <v>0</v>
      </c>
      <c r="P21" s="196">
        <f>IFERROR(__xludf.DUMMYFUNCTION("""COMPUTED_VALUE"""),-32.189999999999955)</f>
        <v>-32.19</v>
      </c>
    </row>
    <row r="22">
      <c r="A22" s="7">
        <v>43454.0</v>
      </c>
      <c r="B22" s="10" t="s">
        <v>374</v>
      </c>
      <c r="C22" s="10" t="s">
        <v>375</v>
      </c>
      <c r="D22" s="10" t="s">
        <v>362</v>
      </c>
      <c r="E22" s="32"/>
      <c r="F22" s="190"/>
      <c r="G22" s="191">
        <v>-3.41</v>
      </c>
      <c r="H22" s="192" t="s">
        <v>398</v>
      </c>
      <c r="I22" s="193" t="str">
        <f t="shared" si="1"/>
        <v/>
      </c>
      <c r="J22" s="193" t="str">
        <f t="shared" si="2"/>
        <v>iShares USD Treasury Bond 20+yr UCITS ETF</v>
      </c>
      <c r="K22" s="126">
        <f t="shared" si="3"/>
        <v>72242</v>
      </c>
      <c r="L22" s="194">
        <f t="shared" si="4"/>
        <v>-269859.85</v>
      </c>
      <c r="M22" s="195" t="str">
        <f>IF(AND($N22&lt;&gt;"",$O22&lt;&gt;0),MAXIFS(Investment!$L:$L,Investment!$D:$D,$N22),"")</f>
        <v/>
      </c>
      <c r="N22" s="193" t="str">
        <f>IFERROR(__xludf.DUMMYFUNCTION("""COMPUTED_VALUE"""),"UNIBAIL RODAMCO SE")</f>
        <v>UNIBAIL RODAMCO SE</v>
      </c>
      <c r="O22" s="144">
        <f>IFERROR(__xludf.DUMMYFUNCTION("""COMPUTED_VALUE"""),0.0)</f>
        <v>0</v>
      </c>
      <c r="P22" s="196">
        <f>IFERROR(__xludf.DUMMYFUNCTION("""COMPUTED_VALUE"""),107.69999999999986)</f>
        <v>107.7</v>
      </c>
    </row>
    <row r="23">
      <c r="A23" s="7">
        <v>43454.0</v>
      </c>
      <c r="B23" s="10" t="s">
        <v>374</v>
      </c>
      <c r="C23" s="10" t="s">
        <v>375</v>
      </c>
      <c r="D23" s="10" t="s">
        <v>381</v>
      </c>
      <c r="E23" s="32">
        <v>-1760.0</v>
      </c>
      <c r="F23" s="190">
        <v>3.985</v>
      </c>
      <c r="G23" s="191">
        <v>7013.08</v>
      </c>
      <c r="H23" s="192" t="s">
        <v>399</v>
      </c>
      <c r="I23" s="193">
        <f t="shared" si="1"/>
        <v>-28.61880125</v>
      </c>
      <c r="J23" s="193" t="str">
        <f t="shared" si="2"/>
        <v>iShares USD Treasury Bond 20+yr UCITS ETF</v>
      </c>
      <c r="K23" s="126">
        <f t="shared" si="3"/>
        <v>72242</v>
      </c>
      <c r="L23" s="194">
        <f t="shared" si="4"/>
        <v>-269859.85</v>
      </c>
      <c r="M23" s="195" t="str">
        <f>IF(AND($N23&lt;&gt;"",$O23&lt;&gt;0),MAXIFS(Investment!$L:$L,Investment!$D:$D,$N23),"")</f>
        <v/>
      </c>
      <c r="N23" s="193" t="str">
        <f>IFERROR(__xludf.DUMMYFUNCTION("""COMPUTED_VALUE"""),"ORANGE")</f>
        <v>ORANGE</v>
      </c>
      <c r="O23" s="144">
        <f>IFERROR(__xludf.DUMMYFUNCTION("""COMPUTED_VALUE"""),0.0)</f>
        <v>0</v>
      </c>
      <c r="P23" s="196">
        <f>IFERROR(__xludf.DUMMYFUNCTION("""COMPUTED_VALUE"""),-68.11999999999989)</f>
        <v>-68.12</v>
      </c>
    </row>
    <row r="24">
      <c r="A24" s="7">
        <v>43453.0</v>
      </c>
      <c r="B24" s="10" t="s">
        <v>374</v>
      </c>
      <c r="C24" s="10" t="s">
        <v>375</v>
      </c>
      <c r="D24" s="10" t="s">
        <v>362</v>
      </c>
      <c r="E24" s="10"/>
      <c r="F24" s="145"/>
      <c r="G24" s="191">
        <v>-2.92</v>
      </c>
      <c r="H24" s="192" t="s">
        <v>400</v>
      </c>
      <c r="I24" s="193" t="str">
        <f t="shared" si="1"/>
        <v/>
      </c>
      <c r="J24" s="193" t="str">
        <f t="shared" si="2"/>
        <v>iShares USD Treasury Bond 20+yr UCITS ETF</v>
      </c>
      <c r="K24" s="126">
        <f t="shared" si="3"/>
        <v>72242</v>
      </c>
      <c r="L24" s="194">
        <f t="shared" si="4"/>
        <v>-269859.85</v>
      </c>
      <c r="M24" s="195" t="str">
        <f>IF(AND($N24&lt;&gt;"",$O24&lt;&gt;0),MAXIFS(Investment!$L:$L,Investment!$D:$D,$N24),"")</f>
        <v/>
      </c>
      <c r="N24" s="193" t="str">
        <f>IFERROR(__xludf.DUMMYFUNCTION("""COMPUTED_VALUE"""),"GDF SUEZ")</f>
        <v>GDF SUEZ</v>
      </c>
      <c r="O24" s="144">
        <f>IFERROR(__xludf.DUMMYFUNCTION("""COMPUTED_VALUE"""),0.0)</f>
        <v>0</v>
      </c>
      <c r="P24" s="196">
        <f>IFERROR(__xludf.DUMMYFUNCTION("""COMPUTED_VALUE"""),123.37000000000012)</f>
        <v>123.37</v>
      </c>
    </row>
    <row r="25">
      <c r="A25" s="7">
        <v>43453.0</v>
      </c>
      <c r="B25" s="10" t="s">
        <v>374</v>
      </c>
      <c r="C25" s="10" t="s">
        <v>375</v>
      </c>
      <c r="D25" s="10" t="s">
        <v>381</v>
      </c>
      <c r="E25" s="32">
        <v>-1177.0</v>
      </c>
      <c r="F25" s="190">
        <v>3.919</v>
      </c>
      <c r="G25" s="191">
        <v>4613.0</v>
      </c>
      <c r="H25" s="192" t="s">
        <v>401</v>
      </c>
      <c r="I25" s="193">
        <f t="shared" si="1"/>
        <v>-96.13607334</v>
      </c>
      <c r="J25" s="193" t="str">
        <f t="shared" si="2"/>
        <v>iShares USD Treasury Bond 20+yr UCITS ETF</v>
      </c>
      <c r="K25" s="126">
        <f t="shared" si="3"/>
        <v>72242</v>
      </c>
      <c r="L25" s="194">
        <f t="shared" si="4"/>
        <v>-269859.85</v>
      </c>
      <c r="M25" s="195" t="str">
        <f>IF(AND($N25&lt;&gt;"",$O25&lt;&gt;0),MAXIFS(Investment!$L:$L,Investment!$D:$D,$N25),"")</f>
        <v/>
      </c>
      <c r="N25" s="193" t="str">
        <f>IFERROR(__xludf.DUMMYFUNCTION("""COMPUTED_VALUE"""),"ABC ARBITRAGE")</f>
        <v>ABC ARBITRAGE</v>
      </c>
      <c r="O25" s="144">
        <f>IFERROR(__xludf.DUMMYFUNCTION("""COMPUTED_VALUE"""),0.0)</f>
        <v>0</v>
      </c>
      <c r="P25" s="196">
        <f>IFERROR(__xludf.DUMMYFUNCTION("""COMPUTED_VALUE"""),217.05999999999995)</f>
        <v>217.06</v>
      </c>
    </row>
    <row r="26">
      <c r="A26" s="7">
        <v>43452.0</v>
      </c>
      <c r="B26" s="10" t="s">
        <v>379</v>
      </c>
      <c r="C26" s="10" t="s">
        <v>380</v>
      </c>
      <c r="D26" s="10" t="s">
        <v>381</v>
      </c>
      <c r="E26" s="10">
        <v>-15.0</v>
      </c>
      <c r="F26" s="190">
        <v>166.3</v>
      </c>
      <c r="G26" s="191">
        <v>2494.5</v>
      </c>
      <c r="H26" s="192" t="s">
        <v>402</v>
      </c>
      <c r="I26" s="193">
        <f t="shared" si="1"/>
        <v>-33.45</v>
      </c>
      <c r="J26" s="193" t="str">
        <f t="shared" si="2"/>
        <v>iShares USD Treasury Bond 7-10yr UCITS ETF USD Dist</v>
      </c>
      <c r="K26" s="126">
        <f t="shared" si="3"/>
        <v>639</v>
      </c>
      <c r="L26" s="194">
        <f t="shared" si="4"/>
        <v>-100085.66</v>
      </c>
      <c r="M26" s="195" t="str">
        <f>IF(AND($N26&lt;&gt;"",$O26&lt;&gt;0),MAXIFS(Investment!$L:$L,Investment!$D:$D,$N26),"")</f>
        <v/>
      </c>
      <c r="N26" s="193" t="str">
        <f>IFERROR(__xludf.DUMMYFUNCTION("""COMPUTED_VALUE"""),"TOTAL")</f>
        <v>TOTAL</v>
      </c>
      <c r="O26" s="144">
        <f>IFERROR(__xludf.DUMMYFUNCTION("""COMPUTED_VALUE"""),0.0)</f>
        <v>0</v>
      </c>
      <c r="P26" s="196">
        <f>IFERROR(__xludf.DUMMYFUNCTION("""COMPUTED_VALUE"""),137.90999999999985)</f>
        <v>137.91</v>
      </c>
    </row>
    <row r="27">
      <c r="A27" s="7">
        <v>43452.0</v>
      </c>
      <c r="B27" s="10" t="s">
        <v>385</v>
      </c>
      <c r="C27" s="10" t="s">
        <v>386</v>
      </c>
      <c r="D27" s="10" t="s">
        <v>381</v>
      </c>
      <c r="E27" s="10">
        <v>-10.0</v>
      </c>
      <c r="F27" s="190">
        <v>104.83</v>
      </c>
      <c r="G27" s="191">
        <v>1048.3</v>
      </c>
      <c r="H27" s="192" t="s">
        <v>403</v>
      </c>
      <c r="I27" s="193">
        <f t="shared" si="1"/>
        <v>-26.6</v>
      </c>
      <c r="J27" s="193" t="str">
        <f t="shared" si="2"/>
        <v>ETFS Physical Gold</v>
      </c>
      <c r="K27" s="126">
        <f t="shared" si="3"/>
        <v>506</v>
      </c>
      <c r="L27" s="194">
        <f t="shared" si="4"/>
        <v>-52182.08</v>
      </c>
      <c r="M27" s="195" t="str">
        <f>IF(AND($N27&lt;&gt;"",$O27&lt;&gt;0),MAXIFS(Investment!$L:$L,Investment!$D:$D,$N27),"")</f>
        <v/>
      </c>
      <c r="N27" s="193" t="str">
        <f>IFERROR(__xludf.DUMMYFUNCTION("""COMPUTED_VALUE"""),"FRANCE TELECOM")</f>
        <v>FRANCE TELECOM</v>
      </c>
      <c r="O27" s="144">
        <f>IFERROR(__xludf.DUMMYFUNCTION("""COMPUTED_VALUE"""),0.0)</f>
        <v>0</v>
      </c>
      <c r="P27" s="196">
        <f>IFERROR(__xludf.DUMMYFUNCTION("""COMPUTED_VALUE"""),1049.8199999999997)</f>
        <v>1049.82</v>
      </c>
    </row>
    <row r="28">
      <c r="A28" s="7">
        <v>43451.0</v>
      </c>
      <c r="B28" s="197" t="s">
        <v>371</v>
      </c>
      <c r="C28" s="192" t="s">
        <v>372</v>
      </c>
      <c r="D28" s="198" t="s">
        <v>369</v>
      </c>
      <c r="E28" s="198">
        <v>48.0</v>
      </c>
      <c r="F28" s="145">
        <v>43.36</v>
      </c>
      <c r="G28" s="199">
        <v>-2081.28</v>
      </c>
      <c r="H28" s="192" t="s">
        <v>404</v>
      </c>
      <c r="I28" s="193">
        <f t="shared" si="1"/>
        <v>-72.576</v>
      </c>
      <c r="J28" s="193" t="str">
        <f t="shared" si="2"/>
        <v>Vanguard S&amp;P 500 UCITS ETF</v>
      </c>
      <c r="K28" s="126">
        <f t="shared" si="3"/>
        <v>5439</v>
      </c>
      <c r="L28" s="194">
        <f t="shared" si="4"/>
        <v>-238297.57</v>
      </c>
      <c r="M28" s="195" t="str">
        <f>IF(AND($N28&lt;&gt;"",$O28&lt;&gt;0),MAXIFS(Investment!$L:$L,Investment!$D:$D,$N28),"")</f>
        <v/>
      </c>
      <c r="N28" s="193" t="str">
        <f>IFERROR(__xludf.DUMMYFUNCTION("""COMPUTED_VALUE"""),"VIVENDI")</f>
        <v>VIVENDI</v>
      </c>
      <c r="O28" s="144">
        <f>IFERROR(__xludf.DUMMYFUNCTION("""COMPUTED_VALUE"""),0.0)</f>
        <v>0</v>
      </c>
      <c r="P28" s="196">
        <f>IFERROR(__xludf.DUMMYFUNCTION("""COMPUTED_VALUE"""),460.3100000000004)</f>
        <v>460.31</v>
      </c>
    </row>
    <row r="29">
      <c r="A29" s="7">
        <v>43451.0</v>
      </c>
      <c r="B29" s="197" t="s">
        <v>371</v>
      </c>
      <c r="C29" s="192" t="s">
        <v>372</v>
      </c>
      <c r="D29" s="198" t="s">
        <v>362</v>
      </c>
      <c r="E29" s="198"/>
      <c r="F29" s="145"/>
      <c r="G29" s="199">
        <v>-2.42</v>
      </c>
      <c r="H29" s="192" t="s">
        <v>405</v>
      </c>
      <c r="I29" s="193" t="str">
        <f t="shared" si="1"/>
        <v/>
      </c>
      <c r="J29" s="193" t="str">
        <f t="shared" si="2"/>
        <v>Vanguard S&amp;P 500 UCITS ETF</v>
      </c>
      <c r="K29" s="126">
        <f t="shared" si="3"/>
        <v>5439</v>
      </c>
      <c r="L29" s="194">
        <f t="shared" si="4"/>
        <v>-238297.57</v>
      </c>
      <c r="M29" s="195" t="str">
        <f>IF(AND($N29&lt;&gt;"",$O29&lt;&gt;0),MAXIFS(Investment!$L:$L,Investment!$D:$D,$N29),"")</f>
        <v/>
      </c>
      <c r="N29" s="193" t="str">
        <f>IFERROR(__xludf.DUMMYFUNCTION("""COMPUTED_VALUE"""),"PEUGEOT")</f>
        <v>PEUGEOT</v>
      </c>
      <c r="O29" s="144">
        <f>IFERROR(__xludf.DUMMYFUNCTION("""COMPUTED_VALUE"""),0.0)</f>
        <v>0</v>
      </c>
      <c r="P29" s="196">
        <f>IFERROR(__xludf.DUMMYFUNCTION("""COMPUTED_VALUE"""),-532.01)</f>
        <v>-532.01</v>
      </c>
    </row>
    <row r="30">
      <c r="A30" s="7">
        <v>43451.0</v>
      </c>
      <c r="B30" s="197" t="s">
        <v>371</v>
      </c>
      <c r="C30" s="192" t="s">
        <v>372</v>
      </c>
      <c r="D30" s="198" t="s">
        <v>369</v>
      </c>
      <c r="E30" s="198">
        <v>60.0</v>
      </c>
      <c r="F30" s="145">
        <v>43.37</v>
      </c>
      <c r="G30" s="199">
        <v>-2602.2</v>
      </c>
      <c r="H30" s="192" t="s">
        <v>406</v>
      </c>
      <c r="I30" s="193">
        <f t="shared" si="1"/>
        <v>-91.32</v>
      </c>
      <c r="J30" s="193" t="str">
        <f t="shared" si="2"/>
        <v>Vanguard S&amp;P 500 UCITS ETF</v>
      </c>
      <c r="K30" s="126">
        <f t="shared" si="3"/>
        <v>5439</v>
      </c>
      <c r="L30" s="194">
        <f t="shared" si="4"/>
        <v>-238297.57</v>
      </c>
      <c r="M30" s="195" t="str">
        <f>IF(AND($N30&lt;&gt;"",$O30&lt;&gt;0),MAXIFS(Investment!$L:$L,Investment!$D:$D,$N30),"")</f>
        <v/>
      </c>
      <c r="N30" s="193" t="str">
        <f>IFERROR(__xludf.DUMMYFUNCTION("""COMPUTED_VALUE"""),"CREDIT AGRICOLE")</f>
        <v>CREDIT AGRICOLE</v>
      </c>
      <c r="O30" s="144">
        <f>IFERROR(__xludf.DUMMYFUNCTION("""COMPUTED_VALUE"""),0.0)</f>
        <v>0</v>
      </c>
      <c r="P30" s="196">
        <f>IFERROR(__xludf.DUMMYFUNCTION("""COMPUTED_VALUE"""),173.19000000000005)</f>
        <v>173.19</v>
      </c>
    </row>
    <row r="31">
      <c r="A31" s="7">
        <v>43451.0</v>
      </c>
      <c r="B31" s="197" t="s">
        <v>371</v>
      </c>
      <c r="C31" s="192" t="s">
        <v>372</v>
      </c>
      <c r="D31" s="198" t="s">
        <v>362</v>
      </c>
      <c r="E31" s="198"/>
      <c r="F31" s="145"/>
      <c r="G31" s="199">
        <v>-2.52</v>
      </c>
      <c r="H31" s="192" t="s">
        <v>407</v>
      </c>
      <c r="I31" s="193" t="str">
        <f t="shared" si="1"/>
        <v/>
      </c>
      <c r="J31" s="193" t="str">
        <f t="shared" si="2"/>
        <v>Vanguard S&amp;P 500 UCITS ETF</v>
      </c>
      <c r="K31" s="126">
        <f t="shared" si="3"/>
        <v>5439</v>
      </c>
      <c r="L31" s="194">
        <f t="shared" si="4"/>
        <v>-238297.57</v>
      </c>
      <c r="M31" s="195" t="str">
        <f>IF(AND($N31&lt;&gt;"",$O31&lt;&gt;0),MAXIFS(Investment!$L:$L,Investment!$D:$D,$N31),"")</f>
        <v/>
      </c>
      <c r="N31" s="193" t="str">
        <f>IFERROR(__xludf.DUMMYFUNCTION("""COMPUTED_VALUE"""),"VEOLIA ENVIRON")</f>
        <v>VEOLIA ENVIRON</v>
      </c>
      <c r="O31" s="144">
        <f>IFERROR(__xludf.DUMMYFUNCTION("""COMPUTED_VALUE"""),0.0)</f>
        <v>0</v>
      </c>
      <c r="P31" s="196">
        <f>IFERROR(__xludf.DUMMYFUNCTION("""COMPUTED_VALUE"""),401.0100000000002)</f>
        <v>401.01</v>
      </c>
    </row>
    <row r="32">
      <c r="A32" s="7">
        <v>43451.0</v>
      </c>
      <c r="B32" s="197" t="s">
        <v>371</v>
      </c>
      <c r="C32" s="192" t="s">
        <v>372</v>
      </c>
      <c r="D32" s="198" t="s">
        <v>369</v>
      </c>
      <c r="E32" s="198">
        <v>88.0</v>
      </c>
      <c r="F32" s="145">
        <v>43.7</v>
      </c>
      <c r="G32" s="199">
        <v>-3845.6</v>
      </c>
      <c r="H32" s="192" t="s">
        <v>408</v>
      </c>
      <c r="I32" s="193">
        <f t="shared" si="1"/>
        <v>-162.976</v>
      </c>
      <c r="J32" s="193" t="str">
        <f t="shared" si="2"/>
        <v>Vanguard S&amp;P 500 UCITS ETF</v>
      </c>
      <c r="K32" s="126">
        <f t="shared" si="3"/>
        <v>5439</v>
      </c>
      <c r="L32" s="194">
        <f t="shared" si="4"/>
        <v>-238297.57</v>
      </c>
      <c r="M32" s="195" t="str">
        <f>IF(AND($N32&lt;&gt;"",$O32&lt;&gt;0),MAXIFS(Investment!$L:$L,Investment!$D:$D,$N32),"")</f>
        <v/>
      </c>
      <c r="N32" s="193"/>
      <c r="O32" s="144"/>
      <c r="P32" s="196"/>
    </row>
    <row r="33">
      <c r="A33" s="7">
        <v>43451.0</v>
      </c>
      <c r="B33" s="197" t="s">
        <v>371</v>
      </c>
      <c r="C33" s="192" t="s">
        <v>372</v>
      </c>
      <c r="D33" s="198" t="s">
        <v>362</v>
      </c>
      <c r="E33" s="198"/>
      <c r="F33" s="145"/>
      <c r="G33" s="199">
        <v>-2.77</v>
      </c>
      <c r="H33" s="192" t="s">
        <v>409</v>
      </c>
      <c r="I33" s="193" t="str">
        <f t="shared" si="1"/>
        <v/>
      </c>
      <c r="J33" s="193" t="str">
        <f t="shared" si="2"/>
        <v>Vanguard S&amp;P 500 UCITS ETF</v>
      </c>
      <c r="K33" s="126">
        <f t="shared" si="3"/>
        <v>5439</v>
      </c>
      <c r="L33" s="194">
        <f t="shared" si="4"/>
        <v>-238297.57</v>
      </c>
      <c r="M33" s="195" t="str">
        <f>IF(AND($N33&lt;&gt;"",$O33&lt;&gt;0),MAXIFS(Investment!$L:$L,Investment!$D:$D,$N33),"")</f>
        <v/>
      </c>
      <c r="N33" s="193"/>
      <c r="O33" s="144"/>
      <c r="P33" s="196"/>
    </row>
    <row r="34">
      <c r="A34" s="7">
        <v>43448.0</v>
      </c>
      <c r="B34" s="197" t="s">
        <v>371</v>
      </c>
      <c r="C34" s="192" t="s">
        <v>372</v>
      </c>
      <c r="D34" s="198" t="s">
        <v>381</v>
      </c>
      <c r="E34" s="198">
        <v>-190.0</v>
      </c>
      <c r="F34" s="145">
        <v>44.39</v>
      </c>
      <c r="G34" s="199">
        <v>8434.1</v>
      </c>
      <c r="H34" s="192" t="s">
        <v>410</v>
      </c>
      <c r="I34" s="193">
        <f t="shared" si="1"/>
        <v>482.98</v>
      </c>
      <c r="J34" s="193" t="str">
        <f t="shared" si="2"/>
        <v>Vanguard S&amp;P 500 UCITS ETF</v>
      </c>
      <c r="K34" s="126">
        <f t="shared" si="3"/>
        <v>5439</v>
      </c>
      <c r="L34" s="194">
        <f t="shared" si="4"/>
        <v>-238297.57</v>
      </c>
      <c r="M34" s="195" t="str">
        <f>IF(AND($N34&lt;&gt;"",$O34&lt;&gt;0),MAXIFS(Investment!$L:$L,Investment!$D:$D,$N34),"")</f>
        <v/>
      </c>
      <c r="N34" s="193"/>
      <c r="O34" s="144"/>
      <c r="P34" s="196"/>
    </row>
    <row r="35">
      <c r="A35" s="7">
        <v>43448.0</v>
      </c>
      <c r="B35" s="197" t="s">
        <v>371</v>
      </c>
      <c r="C35" s="192" t="s">
        <v>372</v>
      </c>
      <c r="D35" s="198" t="s">
        <v>362</v>
      </c>
      <c r="E35" s="198"/>
      <c r="F35" s="145"/>
      <c r="G35" s="199">
        <v>-3.69</v>
      </c>
      <c r="H35" s="192" t="s">
        <v>411</v>
      </c>
      <c r="I35" s="193" t="str">
        <f t="shared" si="1"/>
        <v/>
      </c>
      <c r="J35" s="193" t="str">
        <f t="shared" si="2"/>
        <v>Vanguard S&amp;P 500 UCITS ETF</v>
      </c>
      <c r="K35" s="126">
        <f t="shared" si="3"/>
        <v>5439</v>
      </c>
      <c r="L35" s="194">
        <f t="shared" si="4"/>
        <v>-238297.57</v>
      </c>
      <c r="M35" s="195" t="str">
        <f>IF(AND($N35&lt;&gt;"",$O35&lt;&gt;0),MAXIFS(Investment!$L:$L,Investment!$D:$D,$N35),"")</f>
        <v/>
      </c>
      <c r="N35" s="193"/>
      <c r="O35" s="144"/>
      <c r="P35" s="196"/>
    </row>
    <row r="36">
      <c r="A36" s="7">
        <v>43441.0</v>
      </c>
      <c r="B36" s="197" t="s">
        <v>371</v>
      </c>
      <c r="C36" s="192" t="s">
        <v>372</v>
      </c>
      <c r="D36" s="198" t="s">
        <v>369</v>
      </c>
      <c r="E36" s="198">
        <v>91.0</v>
      </c>
      <c r="F36" s="145">
        <v>44.735</v>
      </c>
      <c r="G36" s="199">
        <v>-4070.88</v>
      </c>
      <c r="H36" s="192" t="s">
        <v>412</v>
      </c>
      <c r="I36" s="193">
        <f t="shared" si="1"/>
        <v>-262.712</v>
      </c>
      <c r="J36" s="193" t="str">
        <f t="shared" si="2"/>
        <v>Vanguard S&amp;P 500 UCITS ETF</v>
      </c>
      <c r="K36" s="126">
        <f t="shared" si="3"/>
        <v>5439</v>
      </c>
      <c r="L36" s="194">
        <f t="shared" si="4"/>
        <v>-238297.57</v>
      </c>
      <c r="M36" s="195" t="str">
        <f>IF(AND($N36&lt;&gt;"",$O36&lt;&gt;0),MAXIFS(Investment!$L:$L,Investment!$D:$D,$N36),"")</f>
        <v/>
      </c>
      <c r="N36" s="193"/>
      <c r="O36" s="144"/>
      <c r="P36" s="196"/>
    </row>
    <row r="37">
      <c r="A37" s="7">
        <v>43441.0</v>
      </c>
      <c r="B37" s="197" t="s">
        <v>367</v>
      </c>
      <c r="C37" s="192" t="s">
        <v>368</v>
      </c>
      <c r="D37" s="198" t="s">
        <v>369</v>
      </c>
      <c r="E37" s="198">
        <v>255.0</v>
      </c>
      <c r="F37" s="145">
        <v>7.357</v>
      </c>
      <c r="G37" s="199">
        <v>-1876.04</v>
      </c>
      <c r="H37" s="192" t="s">
        <v>413</v>
      </c>
      <c r="I37" s="193">
        <f t="shared" si="1"/>
        <v>-100.73</v>
      </c>
      <c r="J37" s="193" t="str">
        <f t="shared" si="2"/>
        <v>ETFS All Commodities</v>
      </c>
      <c r="K37" s="126">
        <f t="shared" si="3"/>
        <v>8201</v>
      </c>
      <c r="L37" s="194">
        <f t="shared" si="4"/>
        <v>-60467.84</v>
      </c>
      <c r="M37" s="195" t="str">
        <f>IF(AND($N37&lt;&gt;"",$O37&lt;&gt;0),MAXIFS(Investment!$L:$L,Investment!$D:$D,$N37),"")</f>
        <v/>
      </c>
      <c r="N37" s="193"/>
      <c r="O37" s="144"/>
      <c r="P37" s="196"/>
    </row>
    <row r="38">
      <c r="A38" s="7">
        <v>43440.0</v>
      </c>
      <c r="B38" s="197" t="s">
        <v>374</v>
      </c>
      <c r="C38" s="192" t="s">
        <v>375</v>
      </c>
      <c r="D38" s="198" t="s">
        <v>362</v>
      </c>
      <c r="E38" s="198"/>
      <c r="F38" s="145"/>
      <c r="G38" s="199">
        <v>-2.31</v>
      </c>
      <c r="H38" s="192" t="s">
        <v>414</v>
      </c>
      <c r="I38" s="193" t="str">
        <f t="shared" si="1"/>
        <v/>
      </c>
      <c r="J38" s="193" t="str">
        <f t="shared" si="2"/>
        <v>iShares USD Treasury Bond 20+yr UCITS ETF</v>
      </c>
      <c r="K38" s="126">
        <f t="shared" si="3"/>
        <v>72242</v>
      </c>
      <c r="L38" s="194">
        <f t="shared" si="4"/>
        <v>-269859.85</v>
      </c>
      <c r="M38" s="195" t="str">
        <f>IF(AND($N38&lt;&gt;"",$O38&lt;&gt;0),MAXIFS(Investment!$L:$L,Investment!$D:$D,$N38),"")</f>
        <v/>
      </c>
      <c r="N38" s="193"/>
      <c r="O38" s="144"/>
      <c r="P38" s="196"/>
    </row>
    <row r="39">
      <c r="A39" s="7">
        <v>43440.0</v>
      </c>
      <c r="B39" s="197" t="s">
        <v>374</v>
      </c>
      <c r="C39" s="192" t="s">
        <v>375</v>
      </c>
      <c r="D39" s="198" t="s">
        <v>381</v>
      </c>
      <c r="E39" s="198">
        <v>-392.0</v>
      </c>
      <c r="F39" s="145">
        <v>3.935</v>
      </c>
      <c r="G39" s="199">
        <v>1542.58</v>
      </c>
      <c r="H39" s="192" t="s">
        <v>415</v>
      </c>
      <c r="I39" s="193">
        <f t="shared" si="1"/>
        <v>-25.79836937</v>
      </c>
      <c r="J39" s="193" t="str">
        <f t="shared" si="2"/>
        <v>iShares USD Treasury Bond 20+yr UCITS ETF</v>
      </c>
      <c r="K39" s="126">
        <f t="shared" si="3"/>
        <v>72242</v>
      </c>
      <c r="L39" s="194">
        <f t="shared" si="4"/>
        <v>-269859.85</v>
      </c>
      <c r="M39" s="195" t="str">
        <f>IF(AND($N39&lt;&gt;"",$O39&lt;&gt;0),MAXIFS(Investment!$L:$L,Investment!$D:$D,$N39),"")</f>
        <v/>
      </c>
      <c r="N39" s="193"/>
      <c r="O39" s="144"/>
      <c r="P39" s="196"/>
    </row>
    <row r="40">
      <c r="A40" s="7">
        <v>43440.0</v>
      </c>
      <c r="B40" s="197" t="s">
        <v>371</v>
      </c>
      <c r="C40" s="192" t="s">
        <v>372</v>
      </c>
      <c r="D40" s="198" t="s">
        <v>369</v>
      </c>
      <c r="E40" s="198">
        <v>236.0</v>
      </c>
      <c r="F40" s="145">
        <v>44.578</v>
      </c>
      <c r="G40" s="199">
        <v>-10520.4</v>
      </c>
      <c r="H40" s="192" t="s">
        <v>416</v>
      </c>
      <c r="I40" s="193">
        <f t="shared" si="1"/>
        <v>-644.272</v>
      </c>
      <c r="J40" s="193" t="str">
        <f t="shared" si="2"/>
        <v>Vanguard S&amp;P 500 UCITS ETF</v>
      </c>
      <c r="K40" s="126">
        <f t="shared" si="3"/>
        <v>5439</v>
      </c>
      <c r="L40" s="194">
        <f t="shared" si="4"/>
        <v>-238297.57</v>
      </c>
      <c r="M40" s="195" t="str">
        <f>IF(AND($N40&lt;&gt;"",$O40&lt;&gt;0),MAXIFS(Investment!$L:$L,Investment!$D:$D,$N40),"")</f>
        <v/>
      </c>
      <c r="N40" s="193"/>
      <c r="O40" s="144"/>
      <c r="P40" s="196"/>
    </row>
    <row r="41">
      <c r="A41" s="7">
        <v>43438.0</v>
      </c>
      <c r="B41" s="197"/>
      <c r="C41" s="192"/>
      <c r="D41" s="198" t="s">
        <v>364</v>
      </c>
      <c r="E41" s="198"/>
      <c r="F41" s="145"/>
      <c r="G41" s="199">
        <v>-1500.0</v>
      </c>
      <c r="H41" s="192" t="s">
        <v>365</v>
      </c>
      <c r="I41" s="193" t="str">
        <f t="shared" si="1"/>
        <v/>
      </c>
      <c r="J41" s="193" t="str">
        <f t="shared" si="2"/>
        <v/>
      </c>
      <c r="K41" s="126" t="str">
        <f t="shared" si="3"/>
        <v/>
      </c>
      <c r="L41" s="194" t="str">
        <f t="shared" si="4"/>
        <v/>
      </c>
      <c r="M41" s="195" t="str">
        <f>IF(AND($N41&lt;&gt;"",$O41&lt;&gt;0),MAXIFS(Investment!$L:$L,Investment!$D:$D,$N41),"")</f>
        <v/>
      </c>
      <c r="N41" s="193"/>
      <c r="O41" s="144"/>
      <c r="P41" s="196"/>
    </row>
    <row r="42">
      <c r="A42" s="7">
        <v>43438.0</v>
      </c>
      <c r="B42" s="197"/>
      <c r="C42" s="192"/>
      <c r="D42" s="198" t="s">
        <v>362</v>
      </c>
      <c r="E42" s="198"/>
      <c r="F42" s="145"/>
      <c r="G42" s="199">
        <v>-579.07</v>
      </c>
      <c r="H42" s="192" t="s">
        <v>417</v>
      </c>
      <c r="I42" s="193" t="str">
        <f t="shared" si="1"/>
        <v/>
      </c>
      <c r="J42" s="193" t="str">
        <f t="shared" si="2"/>
        <v/>
      </c>
      <c r="K42" s="126" t="str">
        <f t="shared" si="3"/>
        <v/>
      </c>
      <c r="L42" s="194" t="str">
        <f t="shared" si="4"/>
        <v/>
      </c>
      <c r="M42" s="195" t="str">
        <f>IF(AND($N42&lt;&gt;"",$O42&lt;&gt;0),MAXIFS(Investment!$L:$L,Investment!$D:$D,$N42),"")</f>
        <v/>
      </c>
      <c r="N42" s="193"/>
      <c r="O42" s="144"/>
      <c r="P42" s="196"/>
    </row>
    <row r="43">
      <c r="A43" s="7">
        <v>47214.0</v>
      </c>
      <c r="B43" s="200"/>
      <c r="C43" s="201"/>
      <c r="D43" s="202" t="s">
        <v>362</v>
      </c>
      <c r="E43" s="203"/>
      <c r="F43" s="204"/>
      <c r="G43" s="205">
        <v>-8.039999999999509</v>
      </c>
      <c r="H43" s="206"/>
      <c r="I43" s="193" t="str">
        <f t="shared" si="1"/>
        <v/>
      </c>
      <c r="J43" s="193" t="str">
        <f t="shared" si="2"/>
        <v/>
      </c>
      <c r="K43" s="126" t="str">
        <f t="shared" si="3"/>
        <v/>
      </c>
      <c r="L43" s="194" t="str">
        <f t="shared" si="4"/>
        <v/>
      </c>
      <c r="M43" s="195" t="str">
        <f>IF(AND($N43&lt;&gt;"",$O43&lt;&gt;0),MAXIFS(Investment!$L:$L,Investment!$D:$D,$N43),"")</f>
        <v/>
      </c>
      <c r="N43" s="193"/>
      <c r="O43" s="144"/>
      <c r="P43" s="196"/>
    </row>
    <row r="44">
      <c r="A44" s="7">
        <v>43435.0</v>
      </c>
      <c r="B44" s="200"/>
      <c r="C44" s="201"/>
      <c r="D44" s="202" t="s">
        <v>362</v>
      </c>
      <c r="E44" s="202"/>
      <c r="F44" s="204"/>
      <c r="G44" s="205">
        <v>0.21999999997206032</v>
      </c>
      <c r="H44" s="201" t="s">
        <v>418</v>
      </c>
      <c r="I44" s="193" t="str">
        <f t="shared" si="1"/>
        <v/>
      </c>
      <c r="J44" s="193" t="str">
        <f t="shared" si="2"/>
        <v/>
      </c>
      <c r="K44" s="126" t="str">
        <f t="shared" si="3"/>
        <v/>
      </c>
      <c r="L44" s="194" t="str">
        <f t="shared" si="4"/>
        <v/>
      </c>
      <c r="M44" s="195" t="str">
        <f>IF(AND($N44&lt;&gt;"",$O44&lt;&gt;0),MAXIFS(Investment!$L:$L,Investment!$D:$D,$N44),"")</f>
        <v/>
      </c>
      <c r="N44" s="187"/>
      <c r="O44" s="126"/>
      <c r="P44" s="207"/>
    </row>
    <row r="45">
      <c r="A45" s="7">
        <v>43434.0</v>
      </c>
      <c r="B45" s="197" t="s">
        <v>379</v>
      </c>
      <c r="C45" s="192" t="s">
        <v>380</v>
      </c>
      <c r="D45" s="198" t="s">
        <v>376</v>
      </c>
      <c r="E45" s="198"/>
      <c r="F45" s="145"/>
      <c r="G45" s="199">
        <v>-204.87</v>
      </c>
      <c r="H45" s="192" t="s">
        <v>419</v>
      </c>
      <c r="I45" s="193" t="str">
        <f t="shared" si="1"/>
        <v/>
      </c>
      <c r="J45" s="193" t="str">
        <f t="shared" si="2"/>
        <v>iShares USD Treasury Bond 7-10yr UCITS ETF USD Dist</v>
      </c>
      <c r="K45" s="126">
        <f t="shared" si="3"/>
        <v>639</v>
      </c>
      <c r="L45" s="194">
        <f t="shared" si="4"/>
        <v>-100085.66</v>
      </c>
      <c r="M45" s="195" t="str">
        <f>IF(AND($N45&lt;&gt;"",$O45&lt;&gt;0),MAXIFS(Investment!$L:$L,Investment!$D:$D,$N45),"")</f>
        <v/>
      </c>
      <c r="N45" s="193"/>
      <c r="O45" s="144"/>
      <c r="P45" s="196"/>
    </row>
    <row r="46">
      <c r="A46" s="7">
        <v>43433.0</v>
      </c>
      <c r="B46" s="197" t="s">
        <v>379</v>
      </c>
      <c r="C46" s="192" t="s">
        <v>380</v>
      </c>
      <c r="D46" s="198" t="s">
        <v>376</v>
      </c>
      <c r="E46" s="198"/>
      <c r="F46" s="145"/>
      <c r="G46" s="199">
        <v>1663.14</v>
      </c>
      <c r="H46" s="192" t="s">
        <v>420</v>
      </c>
      <c r="I46" s="193" t="str">
        <f t="shared" si="1"/>
        <v/>
      </c>
      <c r="J46" s="193" t="str">
        <f t="shared" si="2"/>
        <v>iShares USD Treasury Bond 7-10yr UCITS ETF USD Dist</v>
      </c>
      <c r="K46" s="126">
        <f t="shared" si="3"/>
        <v>639</v>
      </c>
      <c r="L46" s="194">
        <f t="shared" si="4"/>
        <v>-100085.66</v>
      </c>
      <c r="M46" s="195" t="str">
        <f>IF(AND($N46&lt;&gt;"",$O46&lt;&gt;0),MAXIFS(Investment!$L:$L,Investment!$D:$D,$N46),"")</f>
        <v/>
      </c>
      <c r="N46" s="193"/>
      <c r="O46" s="144"/>
      <c r="P46" s="196"/>
    </row>
    <row r="47">
      <c r="A47" s="7">
        <v>43433.0</v>
      </c>
      <c r="B47" s="197" t="s">
        <v>371</v>
      </c>
      <c r="C47" s="192" t="s">
        <v>372</v>
      </c>
      <c r="D47" s="198" t="s">
        <v>381</v>
      </c>
      <c r="E47" s="198">
        <v>-25.0</v>
      </c>
      <c r="F47" s="145">
        <v>45.7</v>
      </c>
      <c r="G47" s="199">
        <v>1142.5</v>
      </c>
      <c r="H47" s="192" t="s">
        <v>421</v>
      </c>
      <c r="I47" s="193">
        <f t="shared" si="1"/>
        <v>96.3</v>
      </c>
      <c r="J47" s="193" t="str">
        <f t="shared" si="2"/>
        <v>Vanguard S&amp;P 500 UCITS ETF</v>
      </c>
      <c r="K47" s="126">
        <f t="shared" si="3"/>
        <v>5439</v>
      </c>
      <c r="L47" s="194">
        <f t="shared" si="4"/>
        <v>-238297.57</v>
      </c>
      <c r="M47" s="195" t="str">
        <f>IF(AND($N47&lt;&gt;"",$O47&lt;&gt;0),MAXIFS(Investment!$L:$L,Investment!$D:$D,$N47),"")</f>
        <v/>
      </c>
      <c r="N47" s="193"/>
      <c r="O47" s="144"/>
      <c r="P47" s="196"/>
    </row>
    <row r="48">
      <c r="A48" s="7">
        <v>43433.0</v>
      </c>
      <c r="B48" s="197" t="s">
        <v>371</v>
      </c>
      <c r="C48" s="192" t="s">
        <v>372</v>
      </c>
      <c r="D48" s="198" t="s">
        <v>362</v>
      </c>
      <c r="E48" s="198"/>
      <c r="F48" s="145"/>
      <c r="G48" s="199">
        <v>-2.23</v>
      </c>
      <c r="H48" s="192" t="s">
        <v>422</v>
      </c>
      <c r="I48" s="193" t="str">
        <f t="shared" si="1"/>
        <v/>
      </c>
      <c r="J48" s="193" t="str">
        <f t="shared" si="2"/>
        <v>Vanguard S&amp;P 500 UCITS ETF</v>
      </c>
      <c r="K48" s="126">
        <f t="shared" si="3"/>
        <v>5439</v>
      </c>
      <c r="L48" s="194">
        <f t="shared" si="4"/>
        <v>-238297.57</v>
      </c>
      <c r="M48" s="195" t="str">
        <f>IF(AND($N48&lt;&gt;"",$O48&lt;&gt;0),MAXIFS(Investment!$L:$L,Investment!$D:$D,$N48),"")</f>
        <v/>
      </c>
      <c r="N48" s="193"/>
      <c r="O48" s="144"/>
      <c r="P48" s="196"/>
    </row>
    <row r="49">
      <c r="A49" s="7">
        <v>43430.0</v>
      </c>
      <c r="B49" s="197" t="s">
        <v>367</v>
      </c>
      <c r="C49" s="192" t="s">
        <v>368</v>
      </c>
      <c r="D49" s="198" t="s">
        <v>369</v>
      </c>
      <c r="E49" s="198">
        <v>214.0</v>
      </c>
      <c r="F49" s="145">
        <v>7.25</v>
      </c>
      <c r="G49" s="199">
        <v>-1551.5</v>
      </c>
      <c r="H49" s="192" t="s">
        <v>423</v>
      </c>
      <c r="I49" s="193">
        <f t="shared" si="1"/>
        <v>-61.632</v>
      </c>
      <c r="J49" s="193" t="str">
        <f t="shared" si="2"/>
        <v>ETFS All Commodities</v>
      </c>
      <c r="K49" s="126">
        <f t="shared" si="3"/>
        <v>8201</v>
      </c>
      <c r="L49" s="194">
        <f t="shared" si="4"/>
        <v>-60467.84</v>
      </c>
      <c r="M49" s="195" t="str">
        <f>IF(AND($N49&lt;&gt;"",$O49&lt;&gt;0),MAXIFS(Investment!$L:$L,Investment!$D:$D,$N49),"")</f>
        <v/>
      </c>
      <c r="N49" s="193"/>
      <c r="O49" s="144"/>
      <c r="P49" s="196"/>
    </row>
    <row r="50">
      <c r="A50" s="7">
        <v>43430.0</v>
      </c>
      <c r="B50" s="197" t="s">
        <v>374</v>
      </c>
      <c r="C50" s="192" t="s">
        <v>375</v>
      </c>
      <c r="D50" s="198" t="s">
        <v>362</v>
      </c>
      <c r="E50" s="198"/>
      <c r="F50" s="145"/>
      <c r="G50" s="199">
        <v>-2.23</v>
      </c>
      <c r="H50" s="192" t="s">
        <v>424</v>
      </c>
      <c r="I50" s="193" t="str">
        <f t="shared" si="1"/>
        <v/>
      </c>
      <c r="J50" s="193" t="str">
        <f t="shared" si="2"/>
        <v>iShares USD Treasury Bond 20+yr UCITS ETF</v>
      </c>
      <c r="K50" s="126">
        <f t="shared" si="3"/>
        <v>72242</v>
      </c>
      <c r="L50" s="194">
        <f t="shared" si="4"/>
        <v>-269859.85</v>
      </c>
      <c r="M50" s="195" t="str">
        <f>IF(AND($N50&lt;&gt;"",$O50&lt;&gt;0),MAXIFS(Investment!$L:$L,Investment!$D:$D,$N50),"")</f>
        <v/>
      </c>
      <c r="N50" s="193"/>
      <c r="O50" s="144"/>
      <c r="P50" s="196"/>
    </row>
    <row r="51">
      <c r="A51" s="7">
        <v>43430.0</v>
      </c>
      <c r="B51" s="197" t="s">
        <v>374</v>
      </c>
      <c r="C51" s="192" t="s">
        <v>375</v>
      </c>
      <c r="D51" s="198" t="s">
        <v>381</v>
      </c>
      <c r="E51" s="198">
        <v>-300.0</v>
      </c>
      <c r="F51" s="145">
        <v>3.819</v>
      </c>
      <c r="G51" s="199">
        <v>1145.66</v>
      </c>
      <c r="H51" s="192" t="s">
        <v>425</v>
      </c>
      <c r="I51" s="193">
        <f t="shared" si="1"/>
        <v>-54.6295684</v>
      </c>
      <c r="J51" s="193" t="str">
        <f t="shared" si="2"/>
        <v>iShares USD Treasury Bond 20+yr UCITS ETF</v>
      </c>
      <c r="K51" s="126">
        <f t="shared" si="3"/>
        <v>72242</v>
      </c>
      <c r="L51" s="194">
        <f t="shared" si="4"/>
        <v>-269859.85</v>
      </c>
      <c r="M51" s="195" t="str">
        <f>IF(AND($N51&lt;&gt;"",$O51&lt;&gt;0),MAXIFS(Investment!$L:$L,Investment!$D:$D,$N51),"")</f>
        <v/>
      </c>
      <c r="N51" s="193"/>
      <c r="O51" s="144"/>
      <c r="P51" s="196"/>
    </row>
    <row r="52">
      <c r="A52" s="7">
        <v>43427.0</v>
      </c>
      <c r="B52" s="197" t="s">
        <v>374</v>
      </c>
      <c r="C52" s="192" t="s">
        <v>375</v>
      </c>
      <c r="D52" s="198" t="s">
        <v>362</v>
      </c>
      <c r="E52" s="198"/>
      <c r="F52" s="145"/>
      <c r="G52" s="199">
        <v>-0.01</v>
      </c>
      <c r="H52" s="192" t="s">
        <v>426</v>
      </c>
      <c r="I52" s="193" t="str">
        <f t="shared" si="1"/>
        <v/>
      </c>
      <c r="J52" s="193" t="str">
        <f t="shared" si="2"/>
        <v>iShares USD Treasury Bond 20+yr UCITS ETF</v>
      </c>
      <c r="K52" s="126">
        <f t="shared" si="3"/>
        <v>72242</v>
      </c>
      <c r="L52" s="194">
        <f t="shared" si="4"/>
        <v>-269859.85</v>
      </c>
      <c r="M52" s="195" t="str">
        <f>IF(AND($N52&lt;&gt;"",$O52&lt;&gt;0),MAXIFS(Investment!$L:$L,Investment!$D:$D,$N52),"")</f>
        <v/>
      </c>
      <c r="N52" s="193"/>
      <c r="O52" s="144"/>
      <c r="P52" s="196"/>
    </row>
    <row r="53">
      <c r="A53" s="7">
        <v>43426.0</v>
      </c>
      <c r="B53" s="197" t="s">
        <v>374</v>
      </c>
      <c r="C53" s="192" t="s">
        <v>375</v>
      </c>
      <c r="D53" s="198" t="s">
        <v>362</v>
      </c>
      <c r="E53" s="198"/>
      <c r="F53" s="145"/>
      <c r="G53" s="199">
        <v>-3.37</v>
      </c>
      <c r="H53" s="192" t="s">
        <v>427</v>
      </c>
      <c r="I53" s="193" t="str">
        <f t="shared" si="1"/>
        <v/>
      </c>
      <c r="J53" s="193" t="str">
        <f t="shared" si="2"/>
        <v>iShares USD Treasury Bond 20+yr UCITS ETF</v>
      </c>
      <c r="K53" s="126">
        <f t="shared" si="3"/>
        <v>72242</v>
      </c>
      <c r="L53" s="194">
        <f t="shared" si="4"/>
        <v>-269859.85</v>
      </c>
      <c r="M53" s="195" t="str">
        <f>IF(AND($N53&lt;&gt;"",$O53&lt;&gt;0),MAXIFS(Investment!$L:$L,Investment!$D:$D,$N53),"")</f>
        <v/>
      </c>
      <c r="N53" s="193"/>
      <c r="O53" s="144"/>
      <c r="P53" s="196"/>
    </row>
    <row r="54">
      <c r="A54" s="7">
        <v>43426.0</v>
      </c>
      <c r="B54" s="197" t="s">
        <v>374</v>
      </c>
      <c r="C54" s="192" t="s">
        <v>375</v>
      </c>
      <c r="D54" s="198" t="s">
        <v>381</v>
      </c>
      <c r="E54" s="198">
        <v>-1798.0</v>
      </c>
      <c r="F54" s="145">
        <v>3.797</v>
      </c>
      <c r="G54" s="199">
        <v>6827.2</v>
      </c>
      <c r="H54" s="192" t="s">
        <v>428</v>
      </c>
      <c r="I54" s="193">
        <f t="shared" si="1"/>
        <v>-366.5354799</v>
      </c>
      <c r="J54" s="193" t="str">
        <f t="shared" si="2"/>
        <v>iShares USD Treasury Bond 20+yr UCITS ETF</v>
      </c>
      <c r="K54" s="126">
        <f t="shared" si="3"/>
        <v>72242</v>
      </c>
      <c r="L54" s="194">
        <f t="shared" si="4"/>
        <v>-269859.85</v>
      </c>
      <c r="M54" s="195" t="str">
        <f>IF(AND($N54&lt;&gt;"",$O54&lt;&gt;0),MAXIFS(Investment!$L:$L,Investment!$D:$D,$N54),"")</f>
        <v/>
      </c>
      <c r="N54" s="193"/>
      <c r="O54" s="144"/>
      <c r="P54" s="196"/>
    </row>
    <row r="55">
      <c r="A55" s="7">
        <v>43426.0</v>
      </c>
      <c r="B55" s="197" t="s">
        <v>379</v>
      </c>
      <c r="C55" s="192" t="s">
        <v>380</v>
      </c>
      <c r="D55" s="198" t="s">
        <v>381</v>
      </c>
      <c r="E55" s="198">
        <v>-7.0</v>
      </c>
      <c r="F55" s="145">
        <v>162.69</v>
      </c>
      <c r="G55" s="199">
        <v>1138.83</v>
      </c>
      <c r="H55" s="192" t="s">
        <v>429</v>
      </c>
      <c r="I55" s="193">
        <f t="shared" si="1"/>
        <v>-40.88</v>
      </c>
      <c r="J55" s="193" t="str">
        <f t="shared" si="2"/>
        <v>iShares USD Treasury Bond 7-10yr UCITS ETF USD Dist</v>
      </c>
      <c r="K55" s="126">
        <f t="shared" si="3"/>
        <v>639</v>
      </c>
      <c r="L55" s="194">
        <f t="shared" si="4"/>
        <v>-100085.66</v>
      </c>
      <c r="M55" s="195" t="str">
        <f>IF(AND($N55&lt;&gt;"",$O55&lt;&gt;0),MAXIFS(Investment!$L:$L,Investment!$D:$D,$N55),"")</f>
        <v/>
      </c>
      <c r="N55" s="193"/>
      <c r="O55" s="144"/>
      <c r="P55" s="196"/>
    </row>
    <row r="56">
      <c r="A56" s="7">
        <v>43426.0</v>
      </c>
      <c r="B56" s="197" t="s">
        <v>379</v>
      </c>
      <c r="C56" s="192" t="s">
        <v>380</v>
      </c>
      <c r="D56" s="198" t="s">
        <v>362</v>
      </c>
      <c r="E56" s="198"/>
      <c r="F56" s="145"/>
      <c r="G56" s="199">
        <v>-2.23</v>
      </c>
      <c r="H56" s="192" t="s">
        <v>430</v>
      </c>
      <c r="I56" s="193" t="str">
        <f t="shared" si="1"/>
        <v/>
      </c>
      <c r="J56" s="193" t="str">
        <f t="shared" si="2"/>
        <v>iShares USD Treasury Bond 7-10yr UCITS ETF USD Dist</v>
      </c>
      <c r="K56" s="126">
        <f t="shared" si="3"/>
        <v>639</v>
      </c>
      <c r="L56" s="194">
        <f t="shared" si="4"/>
        <v>-100085.66</v>
      </c>
      <c r="M56" s="195" t="str">
        <f>IF(AND($N56&lt;&gt;"",$O56&lt;&gt;0),MAXIFS(Investment!$L:$L,Investment!$D:$D,$N56),"")</f>
        <v/>
      </c>
      <c r="N56" s="193"/>
      <c r="O56" s="144"/>
      <c r="P56" s="196"/>
    </row>
    <row r="57">
      <c r="A57" s="7">
        <v>43426.0</v>
      </c>
      <c r="B57" s="197" t="s">
        <v>385</v>
      </c>
      <c r="C57" s="192" t="s">
        <v>386</v>
      </c>
      <c r="D57" s="198" t="s">
        <v>381</v>
      </c>
      <c r="E57" s="198">
        <v>-1.0</v>
      </c>
      <c r="F57" s="145">
        <v>102.84</v>
      </c>
      <c r="G57" s="199">
        <v>102.84</v>
      </c>
      <c r="H57" s="192" t="s">
        <v>431</v>
      </c>
      <c r="I57" s="193">
        <f t="shared" si="1"/>
        <v>-4.65</v>
      </c>
      <c r="J57" s="193" t="str">
        <f t="shared" si="2"/>
        <v>ETFS Physical Gold</v>
      </c>
      <c r="K57" s="126">
        <f t="shared" si="3"/>
        <v>506</v>
      </c>
      <c r="L57" s="194">
        <f t="shared" si="4"/>
        <v>-52182.08</v>
      </c>
      <c r="M57" s="195" t="str">
        <f>IF(AND($N57&lt;&gt;"",$O57&lt;&gt;0),MAXIFS(Investment!$L:$L,Investment!$D:$D,$N57),"")</f>
        <v/>
      </c>
      <c r="N57" s="193"/>
      <c r="O57" s="144"/>
      <c r="P57" s="196"/>
    </row>
    <row r="58">
      <c r="A58" s="7">
        <v>43419.0</v>
      </c>
      <c r="B58" s="197" t="s">
        <v>371</v>
      </c>
      <c r="C58" s="192" t="s">
        <v>372</v>
      </c>
      <c r="D58" s="198" t="s">
        <v>369</v>
      </c>
      <c r="E58" s="198">
        <v>60.0</v>
      </c>
      <c r="F58" s="145">
        <v>45.362</v>
      </c>
      <c r="G58" s="199">
        <v>-2721.72</v>
      </c>
      <c r="H58" s="192" t="s">
        <v>432</v>
      </c>
      <c r="I58" s="193">
        <f t="shared" si="1"/>
        <v>-210.84</v>
      </c>
      <c r="J58" s="193" t="str">
        <f t="shared" si="2"/>
        <v>Vanguard S&amp;P 500 UCITS ETF</v>
      </c>
      <c r="K58" s="126">
        <f t="shared" si="3"/>
        <v>5439</v>
      </c>
      <c r="L58" s="194">
        <f t="shared" si="4"/>
        <v>-238297.57</v>
      </c>
      <c r="M58" s="195" t="str">
        <f>IF(AND($N58&lt;&gt;"",$O58&lt;&gt;0),MAXIFS(Investment!$L:$L,Investment!$D:$D,$N58),"")</f>
        <v/>
      </c>
      <c r="N58" s="193"/>
      <c r="O58" s="144"/>
      <c r="P58" s="196"/>
    </row>
    <row r="59">
      <c r="A59" s="7">
        <v>43419.0</v>
      </c>
      <c r="B59" s="197" t="s">
        <v>379</v>
      </c>
      <c r="C59" s="192" t="s">
        <v>380</v>
      </c>
      <c r="D59" s="198" t="s">
        <v>369</v>
      </c>
      <c r="E59" s="198">
        <v>7.0</v>
      </c>
      <c r="F59" s="145">
        <v>163.75</v>
      </c>
      <c r="G59" s="199">
        <v>-1146.25</v>
      </c>
      <c r="H59" s="192" t="s">
        <v>433</v>
      </c>
      <c r="I59" s="193">
        <f t="shared" si="1"/>
        <v>33.46</v>
      </c>
      <c r="J59" s="193" t="str">
        <f t="shared" si="2"/>
        <v>iShares USD Treasury Bond 7-10yr UCITS ETF USD Dist</v>
      </c>
      <c r="K59" s="126">
        <f t="shared" si="3"/>
        <v>639</v>
      </c>
      <c r="L59" s="194">
        <f t="shared" si="4"/>
        <v>-100085.66</v>
      </c>
      <c r="M59" s="195" t="str">
        <f>IF(AND($N59&lt;&gt;"",$O59&lt;&gt;0),MAXIFS(Investment!$L:$L,Investment!$D:$D,$N59),"")</f>
        <v/>
      </c>
      <c r="N59" s="193"/>
      <c r="O59" s="144"/>
      <c r="P59" s="196"/>
    </row>
    <row r="60">
      <c r="A60" s="7">
        <v>43417.0</v>
      </c>
      <c r="B60" s="197"/>
      <c r="C60" s="192"/>
      <c r="D60" s="198" t="s">
        <v>364</v>
      </c>
      <c r="E60" s="198"/>
      <c r="F60" s="145"/>
      <c r="G60" s="199">
        <v>-300.0</v>
      </c>
      <c r="H60" s="192" t="s">
        <v>434</v>
      </c>
      <c r="I60" s="193" t="str">
        <f t="shared" si="1"/>
        <v/>
      </c>
      <c r="J60" s="193" t="str">
        <f t="shared" si="2"/>
        <v/>
      </c>
      <c r="K60" s="126" t="str">
        <f t="shared" si="3"/>
        <v/>
      </c>
      <c r="L60" s="194" t="str">
        <f t="shared" si="4"/>
        <v/>
      </c>
      <c r="M60" s="195" t="str">
        <f>IF(AND($N60&lt;&gt;"",$O60&lt;&gt;0),MAXIFS(Investment!$L:$L,Investment!$D:$D,$N60),"")</f>
        <v/>
      </c>
      <c r="N60" s="193"/>
      <c r="O60" s="144"/>
      <c r="P60" s="196"/>
    </row>
    <row r="61">
      <c r="A61" s="7">
        <v>43406.0</v>
      </c>
      <c r="B61" s="197"/>
      <c r="C61" s="192"/>
      <c r="D61" s="198" t="s">
        <v>362</v>
      </c>
      <c r="E61" s="198"/>
      <c r="F61" s="145"/>
      <c r="G61" s="199">
        <v>-555.0</v>
      </c>
      <c r="H61" s="192" t="s">
        <v>435</v>
      </c>
      <c r="I61" s="193" t="str">
        <f t="shared" si="1"/>
        <v/>
      </c>
      <c r="J61" s="193" t="str">
        <f t="shared" si="2"/>
        <v/>
      </c>
      <c r="K61" s="126" t="str">
        <f t="shared" si="3"/>
        <v/>
      </c>
      <c r="L61" s="194" t="str">
        <f t="shared" si="4"/>
        <v/>
      </c>
      <c r="M61" s="195" t="str">
        <f>IF(AND($N61&lt;&gt;"",$O61&lt;&gt;0),MAXIFS(Investment!$L:$L,Investment!$D:$D,$N61),"")</f>
        <v/>
      </c>
      <c r="N61" s="193"/>
      <c r="O61" s="144"/>
      <c r="P61" s="196"/>
    </row>
    <row r="62">
      <c r="A62" s="7">
        <v>43405.0</v>
      </c>
      <c r="B62" s="197" t="s">
        <v>371</v>
      </c>
      <c r="C62" s="192" t="s">
        <v>372</v>
      </c>
      <c r="D62" s="198" t="s">
        <v>369</v>
      </c>
      <c r="E62" s="198">
        <v>239.0</v>
      </c>
      <c r="F62" s="145">
        <v>45.493</v>
      </c>
      <c r="G62" s="199">
        <v>-10872.83</v>
      </c>
      <c r="H62" s="192" t="s">
        <v>436</v>
      </c>
      <c r="I62" s="193">
        <f t="shared" si="1"/>
        <v>-871.158</v>
      </c>
      <c r="J62" s="193" t="str">
        <f t="shared" si="2"/>
        <v>Vanguard S&amp;P 500 UCITS ETF</v>
      </c>
      <c r="K62" s="126">
        <f t="shared" si="3"/>
        <v>5439</v>
      </c>
      <c r="L62" s="194">
        <f t="shared" si="4"/>
        <v>-238297.57</v>
      </c>
      <c r="M62" s="195" t="str">
        <f>IF(AND($N62&lt;&gt;"",$O62&lt;&gt;0),MAXIFS(Investment!$L:$L,Investment!$D:$D,$N62),"")</f>
        <v/>
      </c>
      <c r="N62" s="193"/>
      <c r="O62" s="144"/>
      <c r="P62" s="196"/>
    </row>
    <row r="63">
      <c r="A63" s="7">
        <v>43405.0</v>
      </c>
      <c r="B63" s="197" t="s">
        <v>367</v>
      </c>
      <c r="C63" s="192" t="s">
        <v>368</v>
      </c>
      <c r="D63" s="198" t="s">
        <v>369</v>
      </c>
      <c r="E63" s="198">
        <v>326.0</v>
      </c>
      <c r="F63" s="145">
        <v>7.482</v>
      </c>
      <c r="G63" s="199">
        <v>-2439.13</v>
      </c>
      <c r="H63" s="192" t="s">
        <v>437</v>
      </c>
      <c r="I63" s="193">
        <f t="shared" si="1"/>
        <v>-169.518</v>
      </c>
      <c r="J63" s="193" t="str">
        <f t="shared" si="2"/>
        <v>ETFS All Commodities</v>
      </c>
      <c r="K63" s="126">
        <f t="shared" si="3"/>
        <v>8201</v>
      </c>
      <c r="L63" s="194">
        <f t="shared" si="4"/>
        <v>-60467.84</v>
      </c>
      <c r="M63" s="195" t="str">
        <f>IF(AND($N63&lt;&gt;"",$O63&lt;&gt;0),MAXIFS(Investment!$L:$L,Investment!$D:$D,$N63),"")</f>
        <v/>
      </c>
      <c r="N63" s="193"/>
      <c r="O63" s="144"/>
      <c r="P63" s="196"/>
    </row>
    <row r="64">
      <c r="A64" s="7">
        <v>43405.0</v>
      </c>
      <c r="B64" s="197" t="s">
        <v>374</v>
      </c>
      <c r="C64" s="192" t="s">
        <v>375</v>
      </c>
      <c r="D64" s="198" t="s">
        <v>362</v>
      </c>
      <c r="E64" s="208"/>
      <c r="F64" s="145"/>
      <c r="G64" s="199">
        <v>-4.09</v>
      </c>
      <c r="H64" s="192" t="s">
        <v>438</v>
      </c>
      <c r="I64" s="193" t="str">
        <f t="shared" si="1"/>
        <v/>
      </c>
      <c r="J64" s="193" t="str">
        <f t="shared" si="2"/>
        <v>iShares USD Treasury Bond 20+yr UCITS ETF</v>
      </c>
      <c r="K64" s="126">
        <f t="shared" si="3"/>
        <v>72242</v>
      </c>
      <c r="L64" s="194">
        <f t="shared" si="4"/>
        <v>-269859.85</v>
      </c>
      <c r="M64" s="195" t="str">
        <f>IF(AND($N64&lt;&gt;"",$O64&lt;&gt;0),MAXIFS(Investment!$L:$L,Investment!$D:$D,$N64),"")</f>
        <v/>
      </c>
      <c r="N64" s="193"/>
      <c r="O64" s="144"/>
      <c r="P64" s="196"/>
    </row>
    <row r="65">
      <c r="A65" s="7">
        <v>43405.0</v>
      </c>
      <c r="B65" s="197" t="s">
        <v>374</v>
      </c>
      <c r="C65" s="192" t="s">
        <v>375</v>
      </c>
      <c r="D65" s="198" t="s">
        <v>369</v>
      </c>
      <c r="E65" s="198">
        <v>2786.0</v>
      </c>
      <c r="F65" s="145">
        <v>3.756</v>
      </c>
      <c r="G65" s="199">
        <v>-10463.08</v>
      </c>
      <c r="H65" s="192" t="s">
        <v>439</v>
      </c>
      <c r="I65" s="193">
        <f t="shared" si="1"/>
        <v>683.6091252</v>
      </c>
      <c r="J65" s="193" t="str">
        <f t="shared" si="2"/>
        <v>iShares USD Treasury Bond 20+yr UCITS ETF</v>
      </c>
      <c r="K65" s="126">
        <f t="shared" si="3"/>
        <v>72242</v>
      </c>
      <c r="L65" s="194">
        <f t="shared" si="4"/>
        <v>-269859.85</v>
      </c>
      <c r="M65" s="195" t="str">
        <f>IF(AND($N65&lt;&gt;"",$O65&lt;&gt;0),MAXIFS(Investment!$L:$L,Investment!$D:$D,$N65),"")</f>
        <v/>
      </c>
      <c r="N65" s="193"/>
      <c r="O65" s="144"/>
      <c r="P65" s="196"/>
    </row>
    <row r="66">
      <c r="A66" s="7">
        <v>43405.0</v>
      </c>
      <c r="B66" s="197" t="s">
        <v>379</v>
      </c>
      <c r="C66" s="192" t="s">
        <v>380</v>
      </c>
      <c r="D66" s="198" t="s">
        <v>369</v>
      </c>
      <c r="E66" s="198">
        <v>16.0</v>
      </c>
      <c r="F66" s="145">
        <v>163.81</v>
      </c>
      <c r="G66" s="199">
        <v>-2620.96</v>
      </c>
      <c r="H66" s="192" t="s">
        <v>440</v>
      </c>
      <c r="I66" s="193">
        <f t="shared" si="1"/>
        <v>75.52</v>
      </c>
      <c r="J66" s="193" t="str">
        <f t="shared" si="2"/>
        <v>iShares USD Treasury Bond 7-10yr UCITS ETF USD Dist</v>
      </c>
      <c r="K66" s="126">
        <f t="shared" si="3"/>
        <v>639</v>
      </c>
      <c r="L66" s="194">
        <f t="shared" si="4"/>
        <v>-100085.66</v>
      </c>
      <c r="M66" s="195" t="str">
        <f>IF(AND($N66&lt;&gt;"",$O66&lt;&gt;0),MAXIFS(Investment!$L:$L,Investment!$D:$D,$N66),"")</f>
        <v/>
      </c>
      <c r="N66" s="193"/>
      <c r="O66" s="144"/>
      <c r="P66" s="196"/>
    </row>
    <row r="67">
      <c r="A67" s="7">
        <v>43398.0</v>
      </c>
      <c r="B67" s="10"/>
      <c r="C67" s="10"/>
      <c r="D67" s="10" t="s">
        <v>364</v>
      </c>
      <c r="E67" s="10"/>
      <c r="F67" s="145"/>
      <c r="G67" s="191">
        <v>6060.0</v>
      </c>
      <c r="H67" s="10" t="s">
        <v>441</v>
      </c>
      <c r="I67" s="207" t="str">
        <f t="shared" si="1"/>
        <v/>
      </c>
      <c r="J67" s="193" t="str">
        <f t="shared" si="2"/>
        <v/>
      </c>
      <c r="K67" s="209" t="str">
        <f t="shared" si="3"/>
        <v/>
      </c>
      <c r="L67" s="210" t="str">
        <f t="shared" si="4"/>
        <v/>
      </c>
      <c r="M67" s="195" t="str">
        <f>IF(AND($N67&lt;&gt;"",$O67&lt;&gt;0),MAXIFS(Investment!$L:$L,Investment!$D:$D,$N67),"")</f>
        <v/>
      </c>
      <c r="N67" s="187"/>
      <c r="O67" s="126"/>
      <c r="P67" s="207"/>
    </row>
    <row r="68">
      <c r="A68" s="7">
        <v>43385.0</v>
      </c>
      <c r="B68" s="10" t="s">
        <v>374</v>
      </c>
      <c r="C68" s="10" t="s">
        <v>375</v>
      </c>
      <c r="D68" s="10" t="s">
        <v>362</v>
      </c>
      <c r="E68" s="10"/>
      <c r="F68" s="145"/>
      <c r="G68" s="191">
        <v>-2.82</v>
      </c>
      <c r="H68" s="10" t="s">
        <v>442</v>
      </c>
      <c r="I68" s="207" t="str">
        <f t="shared" si="1"/>
        <v/>
      </c>
      <c r="J68" s="193" t="str">
        <f t="shared" si="2"/>
        <v>iShares USD Treasury Bond 20+yr UCITS ETF</v>
      </c>
      <c r="K68" s="209">
        <f t="shared" si="3"/>
        <v>72242</v>
      </c>
      <c r="L68" s="210">
        <f t="shared" si="4"/>
        <v>-269859.85</v>
      </c>
      <c r="M68" s="195" t="str">
        <f>IF(AND($N68&lt;&gt;"",$O68&lt;&gt;0),MAXIFS(Investment!$L:$L,Investment!$D:$D,$N68),"")</f>
        <v/>
      </c>
      <c r="N68" s="187"/>
      <c r="O68" s="126"/>
      <c r="P68" s="207"/>
    </row>
    <row r="69">
      <c r="A69" s="7">
        <v>43385.0</v>
      </c>
      <c r="B69" s="10" t="s">
        <v>374</v>
      </c>
      <c r="C69" s="10" t="s">
        <v>375</v>
      </c>
      <c r="D69" s="10" t="s">
        <v>381</v>
      </c>
      <c r="E69" s="32">
        <v>-1106.0</v>
      </c>
      <c r="F69" s="145">
        <v>3.708</v>
      </c>
      <c r="G69" s="191">
        <v>4101.58</v>
      </c>
      <c r="H69" s="10" t="s">
        <v>443</v>
      </c>
      <c r="I69" s="207">
        <f t="shared" si="1"/>
        <v>-323.4875421</v>
      </c>
      <c r="J69" s="193" t="str">
        <f t="shared" si="2"/>
        <v>iShares USD Treasury Bond 20+yr UCITS ETF</v>
      </c>
      <c r="K69" s="209">
        <f t="shared" si="3"/>
        <v>72242</v>
      </c>
      <c r="L69" s="210">
        <f t="shared" si="4"/>
        <v>-269859.85</v>
      </c>
      <c r="M69" s="195" t="str">
        <f>IF(AND($N69&lt;&gt;"",$O69&lt;&gt;0),MAXIFS(Investment!$L:$L,Investment!$D:$D,$N69),"")</f>
        <v/>
      </c>
      <c r="N69" s="187"/>
      <c r="O69" s="126"/>
      <c r="P69" s="207"/>
    </row>
    <row r="70">
      <c r="A70" s="7">
        <v>43385.0</v>
      </c>
      <c r="B70" s="10" t="s">
        <v>379</v>
      </c>
      <c r="C70" s="10" t="s">
        <v>380</v>
      </c>
      <c r="D70" s="10" t="s">
        <v>381</v>
      </c>
      <c r="E70" s="10">
        <v>-11.0</v>
      </c>
      <c r="F70" s="145">
        <v>160.47</v>
      </c>
      <c r="G70" s="191">
        <v>1765.17</v>
      </c>
      <c r="H70" s="10" t="s">
        <v>444</v>
      </c>
      <c r="I70" s="207">
        <f t="shared" si="1"/>
        <v>-88.66</v>
      </c>
      <c r="J70" s="193" t="str">
        <f t="shared" si="2"/>
        <v>iShares USD Treasury Bond 7-10yr UCITS ETF USD Dist</v>
      </c>
      <c r="K70" s="209">
        <f t="shared" si="3"/>
        <v>639</v>
      </c>
      <c r="L70" s="210">
        <f t="shared" si="4"/>
        <v>-100085.66</v>
      </c>
      <c r="M70" s="195" t="str">
        <f>IF(AND($N70&lt;&gt;"",$O70&lt;&gt;0),MAXIFS(Investment!$L:$L,Investment!$D:$D,$N70),"")</f>
        <v/>
      </c>
      <c r="N70" s="187"/>
      <c r="O70" s="126"/>
      <c r="P70" s="207"/>
    </row>
    <row r="71">
      <c r="A71" s="7">
        <v>43385.0</v>
      </c>
      <c r="B71" s="10" t="s">
        <v>371</v>
      </c>
      <c r="C71" s="10" t="s">
        <v>372</v>
      </c>
      <c r="D71" s="10" t="s">
        <v>369</v>
      </c>
      <c r="E71" s="10">
        <v>55.0</v>
      </c>
      <c r="F71" s="145">
        <v>45.353</v>
      </c>
      <c r="G71" s="191">
        <v>-2494.42</v>
      </c>
      <c r="H71" s="10" t="s">
        <v>445</v>
      </c>
      <c r="I71" s="207">
        <f t="shared" si="1"/>
        <v>-192.78</v>
      </c>
      <c r="J71" s="193" t="str">
        <f t="shared" si="2"/>
        <v>Vanguard S&amp;P 500 UCITS ETF</v>
      </c>
      <c r="K71" s="209">
        <f t="shared" si="3"/>
        <v>5439</v>
      </c>
      <c r="L71" s="210">
        <f t="shared" si="4"/>
        <v>-238297.57</v>
      </c>
      <c r="M71" s="195" t="str">
        <f>IF(AND($N71&lt;&gt;"",$O71&lt;&gt;0),MAXIFS(Investment!$L:$L,Investment!$D:$D,$N71),"")</f>
        <v/>
      </c>
      <c r="N71" s="187"/>
      <c r="O71" s="126"/>
      <c r="P71" s="207"/>
    </row>
    <row r="72">
      <c r="A72" s="7">
        <v>43385.0</v>
      </c>
      <c r="B72" s="10" t="s">
        <v>374</v>
      </c>
      <c r="C72" s="10" t="s">
        <v>375</v>
      </c>
      <c r="D72" s="10" t="s">
        <v>362</v>
      </c>
      <c r="E72" s="10"/>
      <c r="F72" s="145"/>
      <c r="G72" s="191">
        <v>-4.42</v>
      </c>
      <c r="H72" s="10" t="s">
        <v>446</v>
      </c>
      <c r="I72" s="207" t="str">
        <f t="shared" si="1"/>
        <v/>
      </c>
      <c r="J72" s="193" t="str">
        <f t="shared" si="2"/>
        <v>iShares USD Treasury Bond 20+yr UCITS ETF</v>
      </c>
      <c r="K72" s="209">
        <f t="shared" si="3"/>
        <v>72242</v>
      </c>
      <c r="L72" s="210">
        <f t="shared" si="4"/>
        <v>-269859.85</v>
      </c>
      <c r="M72" s="195" t="str">
        <f>IF(AND($N72&lt;&gt;"",$O72&lt;&gt;0),MAXIFS(Investment!$L:$L,Investment!$D:$D,$N72),"")</f>
        <v/>
      </c>
      <c r="N72" s="187"/>
      <c r="O72" s="126"/>
      <c r="P72" s="207"/>
    </row>
    <row r="73">
      <c r="A73" s="7">
        <v>43385.0</v>
      </c>
      <c r="B73" s="10" t="s">
        <v>374</v>
      </c>
      <c r="C73" s="10" t="s">
        <v>375</v>
      </c>
      <c r="D73" s="10" t="s">
        <v>381</v>
      </c>
      <c r="E73" s="32">
        <v>-3258.0</v>
      </c>
      <c r="F73" s="145">
        <v>3.707</v>
      </c>
      <c r="G73" s="191">
        <v>12076.62</v>
      </c>
      <c r="H73" s="10" t="s">
        <v>447</v>
      </c>
      <c r="I73" s="207">
        <f t="shared" si="1"/>
        <v>-958.5247128</v>
      </c>
      <c r="J73" s="193" t="str">
        <f t="shared" si="2"/>
        <v>iShares USD Treasury Bond 20+yr UCITS ETF</v>
      </c>
      <c r="K73" s="209">
        <f t="shared" si="3"/>
        <v>72242</v>
      </c>
      <c r="L73" s="210">
        <f t="shared" si="4"/>
        <v>-269859.85</v>
      </c>
      <c r="M73" s="195" t="str">
        <f>IF(AND($N73&lt;&gt;"",$O73&lt;&gt;0),MAXIFS(Investment!$L:$L,Investment!$D:$D,$N73),"")</f>
        <v/>
      </c>
      <c r="N73" s="187"/>
      <c r="O73" s="126"/>
      <c r="P73" s="207"/>
    </row>
    <row r="74">
      <c r="A74" s="7">
        <v>43385.0</v>
      </c>
      <c r="B74" s="10" t="s">
        <v>385</v>
      </c>
      <c r="C74" s="10" t="s">
        <v>386</v>
      </c>
      <c r="D74" s="10" t="s">
        <v>381</v>
      </c>
      <c r="E74" s="10">
        <v>-10.0</v>
      </c>
      <c r="F74" s="145">
        <v>100.61</v>
      </c>
      <c r="G74" s="191">
        <v>1006.1</v>
      </c>
      <c r="H74" s="10" t="s">
        <v>448</v>
      </c>
      <c r="I74" s="207">
        <f t="shared" si="1"/>
        <v>-68.8</v>
      </c>
      <c r="J74" s="193" t="str">
        <f t="shared" si="2"/>
        <v>ETFS Physical Gold</v>
      </c>
      <c r="K74" s="209">
        <f t="shared" si="3"/>
        <v>506</v>
      </c>
      <c r="L74" s="210">
        <f t="shared" si="4"/>
        <v>-52182.08</v>
      </c>
      <c r="M74" s="195" t="str">
        <f>IF(AND($N74&lt;&gt;"",$O74&lt;&gt;0),MAXIFS(Investment!$L:$L,Investment!$D:$D,$N74),"")</f>
        <v/>
      </c>
      <c r="N74" s="187"/>
      <c r="O74" s="126"/>
      <c r="P74" s="207"/>
    </row>
    <row r="75">
      <c r="A75" s="7">
        <v>43385.0</v>
      </c>
      <c r="B75" s="10" t="s">
        <v>379</v>
      </c>
      <c r="C75" s="10" t="s">
        <v>380</v>
      </c>
      <c r="D75" s="10" t="s">
        <v>381</v>
      </c>
      <c r="E75" s="10">
        <v>-13.0</v>
      </c>
      <c r="F75" s="145">
        <v>160.39</v>
      </c>
      <c r="G75" s="191">
        <v>2085.07</v>
      </c>
      <c r="H75" s="10" t="s">
        <v>449</v>
      </c>
      <c r="I75" s="207">
        <f t="shared" si="1"/>
        <v>-105.82</v>
      </c>
      <c r="J75" s="193" t="str">
        <f t="shared" si="2"/>
        <v>iShares USD Treasury Bond 7-10yr UCITS ETF USD Dist</v>
      </c>
      <c r="K75" s="209">
        <f t="shared" si="3"/>
        <v>639</v>
      </c>
      <c r="L75" s="210">
        <f t="shared" si="4"/>
        <v>-100085.66</v>
      </c>
      <c r="M75" s="195" t="str">
        <f>IF(AND($N75&lt;&gt;"",$O75&lt;&gt;0),MAXIFS(Investment!$L:$L,Investment!$D:$D,$N75),"")</f>
        <v/>
      </c>
      <c r="N75" s="187"/>
      <c r="O75" s="126"/>
      <c r="P75" s="207"/>
    </row>
    <row r="76">
      <c r="A76" s="7">
        <v>43385.0</v>
      </c>
      <c r="B76" s="10" t="s">
        <v>367</v>
      </c>
      <c r="C76" s="10" t="s">
        <v>368</v>
      </c>
      <c r="D76" s="10" t="s">
        <v>381</v>
      </c>
      <c r="E76" s="10">
        <v>-32.0</v>
      </c>
      <c r="F76" s="145">
        <v>7.607</v>
      </c>
      <c r="G76" s="191">
        <v>243.42</v>
      </c>
      <c r="H76" s="10" t="s">
        <v>450</v>
      </c>
      <c r="I76" s="207">
        <f t="shared" si="1"/>
        <v>20.636</v>
      </c>
      <c r="J76" s="193" t="str">
        <f t="shared" si="2"/>
        <v>ETFS All Commodities</v>
      </c>
      <c r="K76" s="209">
        <f t="shared" si="3"/>
        <v>8201</v>
      </c>
      <c r="L76" s="210">
        <f t="shared" si="4"/>
        <v>-60467.84</v>
      </c>
      <c r="M76" s="195" t="str">
        <f>IF(AND($N76&lt;&gt;"",$O76&lt;&gt;0),MAXIFS(Investment!$L:$L,Investment!$D:$D,$N76),"")</f>
        <v/>
      </c>
      <c r="N76" s="187"/>
      <c r="O76" s="126"/>
      <c r="P76" s="207"/>
    </row>
    <row r="77">
      <c r="A77" s="7">
        <v>43385.0</v>
      </c>
      <c r="B77" s="10" t="s">
        <v>367</v>
      </c>
      <c r="C77" s="10" t="s">
        <v>368</v>
      </c>
      <c r="D77" s="10" t="s">
        <v>362</v>
      </c>
      <c r="E77" s="10"/>
      <c r="F77" s="145"/>
      <c r="G77" s="191">
        <v>-2.05</v>
      </c>
      <c r="H77" s="10" t="s">
        <v>451</v>
      </c>
      <c r="I77" s="207" t="str">
        <f t="shared" si="1"/>
        <v/>
      </c>
      <c r="J77" s="193" t="str">
        <f t="shared" si="2"/>
        <v>ETFS All Commodities</v>
      </c>
      <c r="K77" s="209">
        <f t="shared" si="3"/>
        <v>8201</v>
      </c>
      <c r="L77" s="210">
        <f t="shared" si="4"/>
        <v>-60467.84</v>
      </c>
      <c r="M77" s="195" t="str">
        <f>IF(AND($N77&lt;&gt;"",$O77&lt;&gt;0),MAXIFS(Investment!$L:$L,Investment!$D:$D,$N77),"")</f>
        <v/>
      </c>
      <c r="N77" s="187"/>
      <c r="O77" s="126"/>
      <c r="P77" s="207"/>
    </row>
    <row r="78">
      <c r="A78" s="7">
        <v>43384.0</v>
      </c>
      <c r="B78" s="10" t="s">
        <v>371</v>
      </c>
      <c r="C78" s="10" t="s">
        <v>372</v>
      </c>
      <c r="D78" s="10" t="s">
        <v>376</v>
      </c>
      <c r="E78" s="10"/>
      <c r="F78" s="145"/>
      <c r="G78" s="191">
        <v>-136.05</v>
      </c>
      <c r="H78" s="10" t="s">
        <v>452</v>
      </c>
      <c r="I78" s="207" t="str">
        <f t="shared" si="1"/>
        <v/>
      </c>
      <c r="J78" s="193" t="str">
        <f t="shared" si="2"/>
        <v>Vanguard S&amp;P 500 UCITS ETF</v>
      </c>
      <c r="K78" s="209">
        <f t="shared" si="3"/>
        <v>5439</v>
      </c>
      <c r="L78" s="210">
        <f t="shared" si="4"/>
        <v>-238297.57</v>
      </c>
      <c r="M78" s="195" t="str">
        <f>IF(AND($N78&lt;&gt;"",$O78&lt;&gt;0),MAXIFS(Investment!$L:$L,Investment!$D:$D,$N78),"")</f>
        <v/>
      </c>
      <c r="N78" s="187"/>
      <c r="O78" s="126"/>
      <c r="P78" s="207"/>
    </row>
    <row r="79">
      <c r="A79" s="7">
        <v>43383.0</v>
      </c>
      <c r="B79" s="10" t="s">
        <v>371</v>
      </c>
      <c r="C79" s="10" t="s">
        <v>372</v>
      </c>
      <c r="D79" s="10" t="s">
        <v>376</v>
      </c>
      <c r="E79" s="10"/>
      <c r="F79" s="145"/>
      <c r="G79" s="191">
        <v>1024.7</v>
      </c>
      <c r="H79" s="10" t="s">
        <v>453</v>
      </c>
      <c r="I79" s="207" t="str">
        <f t="shared" si="1"/>
        <v/>
      </c>
      <c r="J79" s="193" t="str">
        <f t="shared" si="2"/>
        <v>Vanguard S&amp;P 500 UCITS ETF</v>
      </c>
      <c r="K79" s="209">
        <f t="shared" si="3"/>
        <v>5439</v>
      </c>
      <c r="L79" s="210">
        <f t="shared" si="4"/>
        <v>-238297.57</v>
      </c>
      <c r="M79" s="195" t="str">
        <f>IF(AND($N79&lt;&gt;"",$O79&lt;&gt;0),MAXIFS(Investment!$L:$L,Investment!$D:$D,$N79),"")</f>
        <v/>
      </c>
      <c r="N79" s="187"/>
      <c r="O79" s="126"/>
      <c r="P79" s="207"/>
    </row>
    <row r="80">
      <c r="A80" s="7">
        <v>43378.0</v>
      </c>
      <c r="B80" s="10" t="s">
        <v>385</v>
      </c>
      <c r="C80" s="10" t="s">
        <v>386</v>
      </c>
      <c r="D80" s="10" t="s">
        <v>381</v>
      </c>
      <c r="E80" s="10">
        <v>-9.0</v>
      </c>
      <c r="F80" s="145">
        <v>99.89</v>
      </c>
      <c r="G80" s="191">
        <v>899.01</v>
      </c>
      <c r="H80" s="10" t="s">
        <v>454</v>
      </c>
      <c r="I80" s="207">
        <f t="shared" si="1"/>
        <v>-68.4</v>
      </c>
      <c r="J80" s="193" t="str">
        <f t="shared" si="2"/>
        <v>ETFS Physical Gold</v>
      </c>
      <c r="K80" s="209">
        <f t="shared" si="3"/>
        <v>506</v>
      </c>
      <c r="L80" s="210">
        <f t="shared" si="4"/>
        <v>-52182.08</v>
      </c>
      <c r="M80" s="195" t="str">
        <f>IF(AND($N80&lt;&gt;"",$O80&lt;&gt;0),MAXIFS(Investment!$L:$L,Investment!$D:$D,$N80),"")</f>
        <v/>
      </c>
      <c r="N80" s="187"/>
      <c r="O80" s="126"/>
      <c r="P80" s="207"/>
    </row>
    <row r="81">
      <c r="A81" s="7">
        <v>43377.0</v>
      </c>
      <c r="B81" s="10" t="s">
        <v>367</v>
      </c>
      <c r="C81" s="10" t="s">
        <v>368</v>
      </c>
      <c r="D81" s="10" t="s">
        <v>381</v>
      </c>
      <c r="E81" s="10">
        <v>-238.0</v>
      </c>
      <c r="F81" s="145">
        <v>7.784</v>
      </c>
      <c r="G81" s="191">
        <v>1852.59</v>
      </c>
      <c r="H81" s="10" t="s">
        <v>455</v>
      </c>
      <c r="I81" s="207">
        <f t="shared" si="1"/>
        <v>195.634</v>
      </c>
      <c r="J81" s="193" t="str">
        <f t="shared" si="2"/>
        <v>ETFS All Commodities</v>
      </c>
      <c r="K81" s="209">
        <f t="shared" si="3"/>
        <v>8201</v>
      </c>
      <c r="L81" s="210">
        <f t="shared" si="4"/>
        <v>-60467.84</v>
      </c>
      <c r="M81" s="195" t="str">
        <f>IF(AND($N81&lt;&gt;"",$O81&lt;&gt;0),MAXIFS(Investment!$L:$L,Investment!$D:$D,$N81),"")</f>
        <v/>
      </c>
      <c r="N81" s="187"/>
      <c r="O81" s="126"/>
      <c r="P81" s="207"/>
    </row>
    <row r="82">
      <c r="A82" s="7">
        <v>43377.0</v>
      </c>
      <c r="B82" s="10" t="s">
        <v>379</v>
      </c>
      <c r="C82" s="10" t="s">
        <v>380</v>
      </c>
      <c r="D82" s="10" t="s">
        <v>381</v>
      </c>
      <c r="E82" s="10">
        <v>-5.0</v>
      </c>
      <c r="F82" s="145">
        <v>161.06</v>
      </c>
      <c r="G82" s="191">
        <v>805.3</v>
      </c>
      <c r="H82" s="10" t="s">
        <v>456</v>
      </c>
      <c r="I82" s="207">
        <f t="shared" si="1"/>
        <v>-37.35</v>
      </c>
      <c r="J82" s="193" t="str">
        <f t="shared" si="2"/>
        <v>iShares USD Treasury Bond 7-10yr UCITS ETF USD Dist</v>
      </c>
      <c r="K82" s="209">
        <f t="shared" si="3"/>
        <v>639</v>
      </c>
      <c r="L82" s="210">
        <f t="shared" si="4"/>
        <v>-100085.66</v>
      </c>
      <c r="M82" s="195" t="str">
        <f>IF(AND($N82&lt;&gt;"",$O82&lt;&gt;0),MAXIFS(Investment!$L:$L,Investment!$D:$D,$N82),"")</f>
        <v/>
      </c>
      <c r="N82" s="187"/>
      <c r="O82" s="126"/>
      <c r="P82" s="207"/>
    </row>
    <row r="83">
      <c r="A83" s="7">
        <v>43377.0</v>
      </c>
      <c r="B83" s="10" t="s">
        <v>374</v>
      </c>
      <c r="C83" s="10" t="s">
        <v>375</v>
      </c>
      <c r="D83" s="10" t="s">
        <v>362</v>
      </c>
      <c r="E83" s="10"/>
      <c r="F83" s="145"/>
      <c r="G83" s="191">
        <v>-3.76</v>
      </c>
      <c r="H83" s="10" t="s">
        <v>457</v>
      </c>
      <c r="I83" s="207" t="str">
        <f t="shared" si="1"/>
        <v/>
      </c>
      <c r="J83" s="193" t="str">
        <f t="shared" si="2"/>
        <v>iShares USD Treasury Bond 20+yr UCITS ETF</v>
      </c>
      <c r="K83" s="209">
        <f t="shared" si="3"/>
        <v>72242</v>
      </c>
      <c r="L83" s="210">
        <f t="shared" si="4"/>
        <v>-269859.85</v>
      </c>
      <c r="M83" s="195" t="str">
        <f>IF(AND($N83&lt;&gt;"",$O83&lt;&gt;0),MAXIFS(Investment!$L:$L,Investment!$D:$D,$N83),"")</f>
        <v/>
      </c>
      <c r="N83" s="187"/>
      <c r="O83" s="126"/>
      <c r="P83" s="207"/>
    </row>
    <row r="84">
      <c r="A84" s="7">
        <v>43377.0</v>
      </c>
      <c r="B84" s="10" t="s">
        <v>374</v>
      </c>
      <c r="C84" s="10" t="s">
        <v>375</v>
      </c>
      <c r="D84" s="10" t="s">
        <v>369</v>
      </c>
      <c r="E84" s="32">
        <v>2361.0</v>
      </c>
      <c r="F84" s="145">
        <v>3.731</v>
      </c>
      <c r="G84" s="191">
        <v>-8808.53</v>
      </c>
      <c r="H84" s="10" t="s">
        <v>458</v>
      </c>
      <c r="I84" s="207">
        <f t="shared" si="1"/>
        <v>637.7489033</v>
      </c>
      <c r="J84" s="193" t="str">
        <f t="shared" si="2"/>
        <v>iShares USD Treasury Bond 20+yr UCITS ETF</v>
      </c>
      <c r="K84" s="209">
        <f t="shared" si="3"/>
        <v>72242</v>
      </c>
      <c r="L84" s="210">
        <f t="shared" si="4"/>
        <v>-269859.85</v>
      </c>
      <c r="M84" s="195" t="str">
        <f>IF(AND($N84&lt;&gt;"",$O84&lt;&gt;0),MAXIFS(Investment!$L:$L,Investment!$D:$D,$N84),"")</f>
        <v/>
      </c>
      <c r="N84" s="187"/>
      <c r="O84" s="126"/>
      <c r="P84" s="207"/>
    </row>
    <row r="85">
      <c r="A85" s="7">
        <v>43375.0</v>
      </c>
      <c r="B85" s="10"/>
      <c r="C85" s="10"/>
      <c r="D85" s="10" t="s">
        <v>362</v>
      </c>
      <c r="E85" s="10"/>
      <c r="F85" s="145"/>
      <c r="G85" s="191">
        <v>-501.62</v>
      </c>
      <c r="H85" s="10" t="s">
        <v>459</v>
      </c>
      <c r="I85" s="207" t="str">
        <f t="shared" si="1"/>
        <v/>
      </c>
      <c r="J85" s="193" t="str">
        <f t="shared" si="2"/>
        <v/>
      </c>
      <c r="K85" s="209" t="str">
        <f t="shared" si="3"/>
        <v/>
      </c>
      <c r="L85" s="210" t="str">
        <f t="shared" si="4"/>
        <v/>
      </c>
      <c r="M85" s="195" t="str">
        <f>IF(AND($N85&lt;&gt;"",$O85&lt;&gt;0),MAXIFS(Investment!$L:$L,Investment!$D:$D,$N85),"")</f>
        <v/>
      </c>
      <c r="N85" s="187"/>
      <c r="O85" s="126"/>
      <c r="P85" s="207"/>
    </row>
    <row r="86">
      <c r="A86" s="7">
        <v>43369.0</v>
      </c>
      <c r="B86" s="10" t="s">
        <v>371</v>
      </c>
      <c r="C86" s="10" t="s">
        <v>372</v>
      </c>
      <c r="D86" s="10" t="s">
        <v>381</v>
      </c>
      <c r="E86" s="10">
        <v>-30.0</v>
      </c>
      <c r="F86" s="145">
        <v>47.288</v>
      </c>
      <c r="G86" s="191">
        <v>1418.64</v>
      </c>
      <c r="H86" s="10" t="s">
        <v>460</v>
      </c>
      <c r="I86" s="207">
        <f t="shared" si="1"/>
        <v>163.2</v>
      </c>
      <c r="J86" s="193" t="str">
        <f t="shared" si="2"/>
        <v>Vanguard S&amp;P 500 UCITS ETF</v>
      </c>
      <c r="K86" s="209">
        <f t="shared" si="3"/>
        <v>5439</v>
      </c>
      <c r="L86" s="210">
        <f t="shared" si="4"/>
        <v>-238297.57</v>
      </c>
      <c r="M86" s="195" t="str">
        <f>IF(AND($N86&lt;&gt;"",$O86&lt;&gt;0),MAXIFS(Investment!$L:$L,Investment!$D:$D,$N86),"")</f>
        <v/>
      </c>
      <c r="N86" s="187"/>
      <c r="O86" s="126"/>
      <c r="P86" s="207"/>
    </row>
    <row r="87">
      <c r="A87" s="7">
        <v>43369.0</v>
      </c>
      <c r="B87" s="10" t="s">
        <v>367</v>
      </c>
      <c r="C87" s="10" t="s">
        <v>368</v>
      </c>
      <c r="D87" s="10" t="s">
        <v>381</v>
      </c>
      <c r="E87" s="10">
        <v>-225.0</v>
      </c>
      <c r="F87" s="145">
        <v>7.373</v>
      </c>
      <c r="G87" s="191">
        <v>1658.92</v>
      </c>
      <c r="H87" s="10" t="s">
        <v>461</v>
      </c>
      <c r="I87" s="207">
        <f t="shared" si="1"/>
        <v>92.47</v>
      </c>
      <c r="J87" s="193" t="str">
        <f t="shared" si="2"/>
        <v>ETFS All Commodities</v>
      </c>
      <c r="K87" s="209">
        <f t="shared" si="3"/>
        <v>8201</v>
      </c>
      <c r="L87" s="210">
        <f t="shared" si="4"/>
        <v>-60467.84</v>
      </c>
      <c r="M87" s="195" t="str">
        <f>IF(AND($N87&lt;&gt;"",$O87&lt;&gt;0),MAXIFS(Investment!$L:$L,Investment!$D:$D,$N87),"")</f>
        <v/>
      </c>
      <c r="N87" s="187"/>
      <c r="O87" s="126"/>
      <c r="P87" s="207"/>
    </row>
    <row r="88">
      <c r="A88" s="7">
        <v>43369.0</v>
      </c>
      <c r="B88" s="10" t="s">
        <v>385</v>
      </c>
      <c r="C88" s="10" t="s">
        <v>386</v>
      </c>
      <c r="D88" s="10" t="s">
        <v>381</v>
      </c>
      <c r="E88" s="10">
        <v>-12.0</v>
      </c>
      <c r="F88" s="145">
        <v>97.53</v>
      </c>
      <c r="G88" s="191">
        <v>1170.36</v>
      </c>
      <c r="H88" s="10" t="s">
        <v>462</v>
      </c>
      <c r="I88" s="207">
        <f t="shared" si="1"/>
        <v>-119.52</v>
      </c>
      <c r="J88" s="193" t="str">
        <f t="shared" si="2"/>
        <v>ETFS Physical Gold</v>
      </c>
      <c r="K88" s="209">
        <f t="shared" si="3"/>
        <v>506</v>
      </c>
      <c r="L88" s="210">
        <f t="shared" si="4"/>
        <v>-52182.08</v>
      </c>
      <c r="M88" s="195" t="str">
        <f>IF(AND($N88&lt;&gt;"",$O88&lt;&gt;0),MAXIFS(Investment!$L:$L,Investment!$D:$D,$N88),"")</f>
        <v/>
      </c>
      <c r="N88" s="187"/>
      <c r="O88" s="126"/>
      <c r="P88" s="207"/>
    </row>
    <row r="89">
      <c r="A89" s="7">
        <v>43367.0</v>
      </c>
      <c r="B89" s="10" t="s">
        <v>371</v>
      </c>
      <c r="C89" s="10" t="s">
        <v>372</v>
      </c>
      <c r="D89" s="10" t="s">
        <v>381</v>
      </c>
      <c r="E89" s="10">
        <v>-30.0</v>
      </c>
      <c r="F89" s="145">
        <v>47.385</v>
      </c>
      <c r="G89" s="191">
        <v>1421.55</v>
      </c>
      <c r="H89" s="10" t="s">
        <v>463</v>
      </c>
      <c r="I89" s="207">
        <f t="shared" si="1"/>
        <v>166.11</v>
      </c>
      <c r="J89" s="193" t="str">
        <f t="shared" si="2"/>
        <v>Vanguard S&amp;P 500 UCITS ETF</v>
      </c>
      <c r="K89" s="209">
        <f t="shared" si="3"/>
        <v>5439</v>
      </c>
      <c r="L89" s="210">
        <f t="shared" si="4"/>
        <v>-238297.57</v>
      </c>
      <c r="M89" s="195" t="str">
        <f>IF(AND($N89&lt;&gt;"",$O89&lt;&gt;0),MAXIFS(Investment!$L:$L,Investment!$D:$D,$N89),"")</f>
        <v/>
      </c>
      <c r="N89" s="187"/>
      <c r="O89" s="126"/>
      <c r="P89" s="207"/>
    </row>
    <row r="90">
      <c r="A90" s="7">
        <v>43363.0</v>
      </c>
      <c r="B90" s="10" t="s">
        <v>367</v>
      </c>
      <c r="C90" s="10" t="s">
        <v>368</v>
      </c>
      <c r="D90" s="10" t="s">
        <v>381</v>
      </c>
      <c r="E90" s="10">
        <v>-250.0</v>
      </c>
      <c r="F90" s="145">
        <v>7.261</v>
      </c>
      <c r="G90" s="191">
        <v>1815.25</v>
      </c>
      <c r="H90" s="10" t="s">
        <v>464</v>
      </c>
      <c r="I90" s="207">
        <f t="shared" si="1"/>
        <v>74.75</v>
      </c>
      <c r="J90" s="193" t="str">
        <f t="shared" si="2"/>
        <v>ETFS All Commodities</v>
      </c>
      <c r="K90" s="209">
        <f t="shared" si="3"/>
        <v>8201</v>
      </c>
      <c r="L90" s="210">
        <f t="shared" si="4"/>
        <v>-60467.84</v>
      </c>
      <c r="M90" s="195" t="str">
        <f>IF(AND($N90&lt;&gt;"",$O90&lt;&gt;0),MAXIFS(Investment!$L:$L,Investment!$D:$D,$N90),"")</f>
        <v/>
      </c>
      <c r="N90" s="187"/>
      <c r="O90" s="126"/>
      <c r="P90" s="207"/>
    </row>
    <row r="91">
      <c r="A91" s="7">
        <v>43363.0</v>
      </c>
      <c r="B91" s="10" t="s">
        <v>371</v>
      </c>
      <c r="C91" s="10" t="s">
        <v>372</v>
      </c>
      <c r="D91" s="10" t="s">
        <v>381</v>
      </c>
      <c r="E91" s="10">
        <v>-45.0</v>
      </c>
      <c r="F91" s="145">
        <v>47.386</v>
      </c>
      <c r="G91" s="191">
        <v>2132.37</v>
      </c>
      <c r="H91" s="10" t="s">
        <v>465</v>
      </c>
      <c r="I91" s="207">
        <f t="shared" si="1"/>
        <v>249.21</v>
      </c>
      <c r="J91" s="193" t="str">
        <f t="shared" si="2"/>
        <v>Vanguard S&amp;P 500 UCITS ETF</v>
      </c>
      <c r="K91" s="209">
        <f t="shared" si="3"/>
        <v>5439</v>
      </c>
      <c r="L91" s="210">
        <f t="shared" si="4"/>
        <v>-238297.57</v>
      </c>
      <c r="M91" s="195" t="str">
        <f>IF(AND($N91&lt;&gt;"",$O91&lt;&gt;0),MAXIFS(Investment!$L:$L,Investment!$D:$D,$N91),"")</f>
        <v/>
      </c>
      <c r="N91" s="187"/>
      <c r="O91" s="126"/>
      <c r="P91" s="207"/>
    </row>
    <row r="92">
      <c r="A92" s="7">
        <v>43363.0</v>
      </c>
      <c r="B92" s="10" t="s">
        <v>374</v>
      </c>
      <c r="C92" s="10" t="s">
        <v>375</v>
      </c>
      <c r="D92" s="10" t="s">
        <v>362</v>
      </c>
      <c r="E92" s="10"/>
      <c r="F92" s="145"/>
      <c r="G92" s="191">
        <v>-2.54</v>
      </c>
      <c r="H92" s="10" t="s">
        <v>466</v>
      </c>
      <c r="I92" s="207" t="str">
        <f t="shared" si="1"/>
        <v/>
      </c>
      <c r="J92" s="193" t="str">
        <f t="shared" si="2"/>
        <v>iShares USD Treasury Bond 20+yr UCITS ETF</v>
      </c>
      <c r="K92" s="209">
        <f t="shared" si="3"/>
        <v>72242</v>
      </c>
      <c r="L92" s="210">
        <f t="shared" si="4"/>
        <v>-269859.85</v>
      </c>
      <c r="M92" s="195" t="str">
        <f>IF(AND($N92&lt;&gt;"",$O92&lt;&gt;0),MAXIFS(Investment!$L:$L,Investment!$D:$D,$N92),"")</f>
        <v/>
      </c>
      <c r="N92" s="187"/>
      <c r="O92" s="126"/>
      <c r="P92" s="207"/>
    </row>
    <row r="93">
      <c r="A93" s="7">
        <v>43363.0</v>
      </c>
      <c r="B93" s="10" t="s">
        <v>374</v>
      </c>
      <c r="C93" s="10" t="s">
        <v>375</v>
      </c>
      <c r="D93" s="10" t="s">
        <v>369</v>
      </c>
      <c r="E93" s="10">
        <v>717.0</v>
      </c>
      <c r="F93" s="145">
        <v>3.757</v>
      </c>
      <c r="G93" s="191">
        <v>-2693.88</v>
      </c>
      <c r="H93" s="10" t="s">
        <v>467</v>
      </c>
      <c r="I93" s="207">
        <f t="shared" si="1"/>
        <v>174.8120685</v>
      </c>
      <c r="J93" s="193" t="str">
        <f t="shared" si="2"/>
        <v>iShares USD Treasury Bond 20+yr UCITS ETF</v>
      </c>
      <c r="K93" s="209">
        <f t="shared" si="3"/>
        <v>72242</v>
      </c>
      <c r="L93" s="210">
        <f t="shared" si="4"/>
        <v>-269859.85</v>
      </c>
      <c r="M93" s="195" t="str">
        <f>IF(AND($N93&lt;&gt;"",$O93&lt;&gt;0),MAXIFS(Investment!$L:$L,Investment!$D:$D,$N93),"")</f>
        <v/>
      </c>
      <c r="N93" s="187"/>
      <c r="O93" s="126"/>
      <c r="P93" s="207"/>
    </row>
    <row r="94">
      <c r="A94" s="7">
        <v>43361.0</v>
      </c>
      <c r="B94" s="10" t="s">
        <v>374</v>
      </c>
      <c r="C94" s="10" t="s">
        <v>375</v>
      </c>
      <c r="D94" s="10" t="s">
        <v>362</v>
      </c>
      <c r="E94" s="10"/>
      <c r="F94" s="145"/>
      <c r="G94" s="191">
        <v>-2.4</v>
      </c>
      <c r="H94" s="10" t="s">
        <v>468</v>
      </c>
      <c r="I94" s="207" t="str">
        <f t="shared" si="1"/>
        <v/>
      </c>
      <c r="J94" s="193" t="str">
        <f t="shared" si="2"/>
        <v>iShares USD Treasury Bond 20+yr UCITS ETF</v>
      </c>
      <c r="K94" s="209">
        <f t="shared" si="3"/>
        <v>72242</v>
      </c>
      <c r="L94" s="210">
        <f t="shared" si="4"/>
        <v>-269859.85</v>
      </c>
      <c r="M94" s="195" t="str">
        <f>IF(AND($N94&lt;&gt;"",$O94&lt;&gt;0),MAXIFS(Investment!$L:$L,Investment!$D:$D,$N94),"")</f>
        <v/>
      </c>
      <c r="N94" s="187"/>
      <c r="O94" s="126"/>
      <c r="P94" s="207"/>
    </row>
    <row r="95">
      <c r="A95" s="7">
        <v>43361.0</v>
      </c>
      <c r="B95" s="10" t="s">
        <v>374</v>
      </c>
      <c r="C95" s="10" t="s">
        <v>375</v>
      </c>
      <c r="D95" s="10" t="s">
        <v>369</v>
      </c>
      <c r="E95" s="10">
        <v>525.0</v>
      </c>
      <c r="F95" s="145">
        <v>3.811</v>
      </c>
      <c r="G95" s="191">
        <v>-2000.72</v>
      </c>
      <c r="H95" s="10" t="s">
        <v>469</v>
      </c>
      <c r="I95" s="207">
        <f t="shared" si="1"/>
        <v>99.78674469</v>
      </c>
      <c r="J95" s="193" t="str">
        <f t="shared" si="2"/>
        <v>iShares USD Treasury Bond 20+yr UCITS ETF</v>
      </c>
      <c r="K95" s="209">
        <f t="shared" si="3"/>
        <v>72242</v>
      </c>
      <c r="L95" s="210">
        <f t="shared" si="4"/>
        <v>-269859.85</v>
      </c>
      <c r="M95" s="195" t="str">
        <f>IF(AND($N95&lt;&gt;"",$O95&lt;&gt;0),MAXIFS(Investment!$L:$L,Investment!$D:$D,$N95),"")</f>
        <v/>
      </c>
      <c r="N95" s="187"/>
      <c r="O95" s="126"/>
      <c r="P95" s="207"/>
    </row>
    <row r="96">
      <c r="A96" s="7">
        <v>43357.0</v>
      </c>
      <c r="B96" s="10"/>
      <c r="C96" s="10"/>
      <c r="D96" s="10" t="s">
        <v>364</v>
      </c>
      <c r="E96" s="10"/>
      <c r="F96" s="145"/>
      <c r="G96" s="191">
        <v>440.0</v>
      </c>
      <c r="H96" s="10" t="s">
        <v>470</v>
      </c>
      <c r="I96" s="207" t="str">
        <f t="shared" si="1"/>
        <v/>
      </c>
      <c r="J96" s="193" t="str">
        <f t="shared" si="2"/>
        <v/>
      </c>
      <c r="K96" s="209" t="str">
        <f t="shared" si="3"/>
        <v/>
      </c>
      <c r="L96" s="210" t="str">
        <f t="shared" si="4"/>
        <v/>
      </c>
      <c r="M96" s="195" t="str">
        <f>IF(AND($N96&lt;&gt;"",$O96&lt;&gt;0),MAXIFS(Investment!$L:$L,Investment!$D:$D,$N96),"")</f>
        <v/>
      </c>
      <c r="N96" s="187"/>
      <c r="O96" s="126"/>
      <c r="P96" s="207"/>
    </row>
    <row r="97">
      <c r="A97" s="7">
        <v>43354.0</v>
      </c>
      <c r="B97" s="10"/>
      <c r="C97" s="10"/>
      <c r="D97" s="10" t="s">
        <v>364</v>
      </c>
      <c r="E97" s="10"/>
      <c r="F97" s="145"/>
      <c r="G97" s="191">
        <v>-500.0</v>
      </c>
      <c r="H97" s="10" t="s">
        <v>471</v>
      </c>
      <c r="I97" s="207" t="str">
        <f t="shared" si="1"/>
        <v/>
      </c>
      <c r="J97" s="193" t="str">
        <f t="shared" si="2"/>
        <v/>
      </c>
      <c r="K97" s="209" t="str">
        <f t="shared" si="3"/>
        <v/>
      </c>
      <c r="L97" s="210" t="str">
        <f t="shared" si="4"/>
        <v/>
      </c>
      <c r="M97" s="195" t="str">
        <f>IF(AND($N97&lt;&gt;"",$O97&lt;&gt;0),MAXIFS(Investment!$L:$L,Investment!$D:$D,$N97),"")</f>
        <v/>
      </c>
      <c r="N97" s="187"/>
      <c r="O97" s="126"/>
      <c r="P97" s="207"/>
    </row>
    <row r="98">
      <c r="A98" s="7">
        <v>43350.0</v>
      </c>
      <c r="B98" s="10" t="s">
        <v>374</v>
      </c>
      <c r="C98" s="10" t="s">
        <v>472</v>
      </c>
      <c r="D98" s="10" t="s">
        <v>376</v>
      </c>
      <c r="E98" s="10"/>
      <c r="F98" s="145"/>
      <c r="G98" s="191">
        <v>-12.85</v>
      </c>
      <c r="H98" s="10" t="s">
        <v>473</v>
      </c>
      <c r="I98" s="207" t="str">
        <f t="shared" si="1"/>
        <v/>
      </c>
      <c r="J98" s="193" t="str">
        <f t="shared" si="2"/>
        <v>Vanguard Extended Duration Treasury ETF</v>
      </c>
      <c r="K98" s="209">
        <f t="shared" si="3"/>
        <v>0</v>
      </c>
      <c r="L98" s="210">
        <f t="shared" si="4"/>
        <v>-4941.36</v>
      </c>
      <c r="M98" s="195" t="str">
        <f>IF(AND($N98&lt;&gt;"",$O98&lt;&gt;0),MAXIFS(Investment!$L:$L,Investment!$D:$D,$N98),"")</f>
        <v/>
      </c>
      <c r="N98" s="187"/>
      <c r="O98" s="126"/>
      <c r="P98" s="207"/>
    </row>
    <row r="99">
      <c r="A99" s="7">
        <v>43349.0</v>
      </c>
      <c r="B99" s="10" t="s">
        <v>374</v>
      </c>
      <c r="C99" s="10" t="s">
        <v>472</v>
      </c>
      <c r="D99" s="10" t="s">
        <v>376</v>
      </c>
      <c r="E99" s="10"/>
      <c r="F99" s="145"/>
      <c r="G99" s="191">
        <v>91.39</v>
      </c>
      <c r="H99" s="10" t="s">
        <v>474</v>
      </c>
      <c r="I99" s="207" t="str">
        <f t="shared" si="1"/>
        <v/>
      </c>
      <c r="J99" s="193" t="str">
        <f t="shared" si="2"/>
        <v>Vanguard Extended Duration Treasury ETF</v>
      </c>
      <c r="K99" s="209">
        <f t="shared" si="3"/>
        <v>0</v>
      </c>
      <c r="L99" s="210">
        <f t="shared" si="4"/>
        <v>-4941.36</v>
      </c>
      <c r="M99" s="195" t="str">
        <f>IF(AND($N99&lt;&gt;"",$O99&lt;&gt;0),MAXIFS(Investment!$L:$L,Investment!$D:$D,$N99),"")</f>
        <v/>
      </c>
      <c r="N99" s="187"/>
      <c r="O99" s="126"/>
      <c r="P99" s="207"/>
    </row>
    <row r="100">
      <c r="A100" s="7">
        <v>43349.0</v>
      </c>
      <c r="B100" s="10" t="s">
        <v>374</v>
      </c>
      <c r="C100" s="10" t="s">
        <v>375</v>
      </c>
      <c r="D100" s="10" t="s">
        <v>362</v>
      </c>
      <c r="E100" s="10"/>
      <c r="F100" s="145"/>
      <c r="G100" s="191">
        <v>-2.26</v>
      </c>
      <c r="H100" s="10" t="s">
        <v>475</v>
      </c>
      <c r="I100" s="207" t="str">
        <f t="shared" si="1"/>
        <v/>
      </c>
      <c r="J100" s="193" t="str">
        <f t="shared" si="2"/>
        <v>iShares USD Treasury Bond 20+yr UCITS ETF</v>
      </c>
      <c r="K100" s="209">
        <f t="shared" si="3"/>
        <v>72242</v>
      </c>
      <c r="L100" s="210">
        <f t="shared" si="4"/>
        <v>-269859.85</v>
      </c>
      <c r="M100" s="195" t="str">
        <f>IF(AND($N100&lt;&gt;"",$O100&lt;&gt;0),MAXIFS(Investment!$L:$L,Investment!$D:$D,$N100),"")</f>
        <v/>
      </c>
      <c r="N100" s="187"/>
      <c r="O100" s="126"/>
      <c r="P100" s="207"/>
    </row>
    <row r="101">
      <c r="A101" s="7">
        <v>43349.0</v>
      </c>
      <c r="B101" s="10" t="s">
        <v>374</v>
      </c>
      <c r="C101" s="10" t="s">
        <v>375</v>
      </c>
      <c r="D101" s="10" t="s">
        <v>369</v>
      </c>
      <c r="E101" s="10">
        <v>336.0</v>
      </c>
      <c r="F101" s="145">
        <v>3.874</v>
      </c>
      <c r="G101" s="191">
        <v>-1301.59</v>
      </c>
      <c r="H101" s="10" t="s">
        <v>476</v>
      </c>
      <c r="I101" s="207">
        <f t="shared" si="1"/>
        <v>42.7343166</v>
      </c>
      <c r="J101" s="193" t="str">
        <f t="shared" si="2"/>
        <v>iShares USD Treasury Bond 20+yr UCITS ETF</v>
      </c>
      <c r="K101" s="209">
        <f t="shared" si="3"/>
        <v>72242</v>
      </c>
      <c r="L101" s="210">
        <f t="shared" si="4"/>
        <v>-269859.85</v>
      </c>
      <c r="M101" s="195" t="str">
        <f>IF(AND($N101&lt;&gt;"",$O101&lt;&gt;0),MAXIFS(Investment!$L:$L,Investment!$D:$D,$N101),"")</f>
        <v/>
      </c>
      <c r="N101" s="187"/>
      <c r="O101" s="126"/>
      <c r="P101" s="207"/>
    </row>
    <row r="102">
      <c r="A102" s="7">
        <v>43346.0</v>
      </c>
      <c r="B102" s="10"/>
      <c r="C102" s="10"/>
      <c r="D102" s="10" t="s">
        <v>362</v>
      </c>
      <c r="E102" s="10"/>
      <c r="F102" s="145"/>
      <c r="G102" s="191">
        <v>-573.99</v>
      </c>
      <c r="H102" s="10" t="s">
        <v>477</v>
      </c>
      <c r="I102" s="207" t="str">
        <f t="shared" si="1"/>
        <v/>
      </c>
      <c r="J102" s="193" t="str">
        <f t="shared" si="2"/>
        <v/>
      </c>
      <c r="K102" s="209" t="str">
        <f t="shared" si="3"/>
        <v/>
      </c>
      <c r="L102" s="210" t="str">
        <f t="shared" si="4"/>
        <v/>
      </c>
      <c r="M102" s="195" t="str">
        <f>IF(AND($N102&lt;&gt;"",$O102&lt;&gt;0),MAXIFS(Investment!$L:$L,Investment!$D:$D,$N102),"")</f>
        <v/>
      </c>
      <c r="N102" s="187"/>
      <c r="O102" s="126"/>
      <c r="P102" s="207"/>
    </row>
    <row r="103">
      <c r="A103" s="7">
        <v>43342.0</v>
      </c>
      <c r="B103" s="10" t="s">
        <v>385</v>
      </c>
      <c r="C103" s="10" t="s">
        <v>386</v>
      </c>
      <c r="D103" s="10" t="s">
        <v>369</v>
      </c>
      <c r="E103" s="10">
        <v>12.0</v>
      </c>
      <c r="F103" s="145">
        <v>98.34</v>
      </c>
      <c r="G103" s="191">
        <v>-1180.08</v>
      </c>
      <c r="H103" s="10" t="s">
        <v>478</v>
      </c>
      <c r="I103" s="207">
        <f t="shared" si="1"/>
        <v>109.8</v>
      </c>
      <c r="J103" s="193" t="str">
        <f t="shared" si="2"/>
        <v>ETFS Physical Gold</v>
      </c>
      <c r="K103" s="209">
        <f t="shared" si="3"/>
        <v>506</v>
      </c>
      <c r="L103" s="210">
        <f t="shared" si="4"/>
        <v>-52182.08</v>
      </c>
      <c r="M103" s="195" t="str">
        <f>IF(AND($N103&lt;&gt;"",$O103&lt;&gt;0),MAXIFS(Investment!$L:$L,Investment!$D:$D,$N103),"")</f>
        <v/>
      </c>
      <c r="N103" s="187"/>
      <c r="O103" s="126"/>
      <c r="P103" s="207"/>
    </row>
    <row r="104">
      <c r="A104" s="7">
        <v>43341.0</v>
      </c>
      <c r="B104" s="10" t="s">
        <v>367</v>
      </c>
      <c r="C104" s="10" t="s">
        <v>368</v>
      </c>
      <c r="D104" s="10" t="s">
        <v>369</v>
      </c>
      <c r="E104" s="10">
        <v>305.0</v>
      </c>
      <c r="F104" s="145">
        <v>7.26</v>
      </c>
      <c r="G104" s="191">
        <v>-2214.3</v>
      </c>
      <c r="H104" s="10" t="s">
        <v>479</v>
      </c>
      <c r="I104" s="207">
        <f t="shared" si="1"/>
        <v>-90.89</v>
      </c>
      <c r="J104" s="193" t="str">
        <f t="shared" si="2"/>
        <v>ETFS All Commodities</v>
      </c>
      <c r="K104" s="209">
        <f t="shared" si="3"/>
        <v>8201</v>
      </c>
      <c r="L104" s="210">
        <f t="shared" si="4"/>
        <v>-60467.84</v>
      </c>
      <c r="M104" s="195" t="str">
        <f>IF(AND($N104&lt;&gt;"",$O104&lt;&gt;0),MAXIFS(Investment!$L:$L,Investment!$D:$D,$N104),"")</f>
        <v/>
      </c>
      <c r="N104" s="187"/>
      <c r="O104" s="126"/>
      <c r="P104" s="207"/>
    </row>
    <row r="105">
      <c r="A105" s="7">
        <v>43341.0</v>
      </c>
      <c r="B105" s="10" t="s">
        <v>379</v>
      </c>
      <c r="C105" s="10" t="s">
        <v>380</v>
      </c>
      <c r="D105" s="10" t="s">
        <v>369</v>
      </c>
      <c r="E105" s="10">
        <v>8.0</v>
      </c>
      <c r="F105" s="145">
        <v>162.34</v>
      </c>
      <c r="G105" s="191">
        <v>-1298.72</v>
      </c>
      <c r="H105" s="10" t="s">
        <v>480</v>
      </c>
      <c r="I105" s="207">
        <f t="shared" si="1"/>
        <v>49.52</v>
      </c>
      <c r="J105" s="193" t="str">
        <f t="shared" si="2"/>
        <v>iShares USD Treasury Bond 7-10yr UCITS ETF USD Dist</v>
      </c>
      <c r="K105" s="209">
        <f t="shared" si="3"/>
        <v>639</v>
      </c>
      <c r="L105" s="210">
        <f t="shared" si="4"/>
        <v>-100085.66</v>
      </c>
      <c r="M105" s="195" t="str">
        <f>IF(AND($N105&lt;&gt;"",$O105&lt;&gt;0),MAXIFS(Investment!$L:$L,Investment!$D:$D,$N105),"")</f>
        <v/>
      </c>
      <c r="N105" s="187"/>
      <c r="O105" s="126"/>
      <c r="P105" s="207"/>
    </row>
    <row r="106">
      <c r="A106" s="7">
        <v>43341.0</v>
      </c>
      <c r="B106" s="10" t="s">
        <v>374</v>
      </c>
      <c r="C106" s="10" t="s">
        <v>375</v>
      </c>
      <c r="D106" s="10" t="s">
        <v>362</v>
      </c>
      <c r="E106" s="10"/>
      <c r="F106" s="145"/>
      <c r="G106" s="191">
        <v>-2.39</v>
      </c>
      <c r="H106" s="10" t="s">
        <v>481</v>
      </c>
      <c r="I106" s="207" t="str">
        <f t="shared" si="1"/>
        <v/>
      </c>
      <c r="J106" s="193" t="str">
        <f t="shared" si="2"/>
        <v>iShares USD Treasury Bond 20+yr UCITS ETF</v>
      </c>
      <c r="K106" s="209">
        <f t="shared" si="3"/>
        <v>72242</v>
      </c>
      <c r="L106" s="210">
        <f t="shared" si="4"/>
        <v>-269859.85</v>
      </c>
      <c r="M106" s="195" t="str">
        <f>IF(AND($N106&lt;&gt;"",$O106&lt;&gt;0),MAXIFS(Investment!$L:$L,Investment!$D:$D,$N106),"")</f>
        <v/>
      </c>
      <c r="N106" s="187"/>
      <c r="O106" s="126"/>
      <c r="P106" s="207"/>
    </row>
    <row r="107">
      <c r="A107" s="7">
        <v>43341.0</v>
      </c>
      <c r="B107" s="10" t="s">
        <v>374</v>
      </c>
      <c r="C107" s="10" t="s">
        <v>375</v>
      </c>
      <c r="D107" s="10" t="s">
        <v>369</v>
      </c>
      <c r="E107" s="10">
        <v>500.0</v>
      </c>
      <c r="F107" s="145">
        <v>3.891</v>
      </c>
      <c r="G107" s="191">
        <v>-1945.61</v>
      </c>
      <c r="H107" s="10" t="s">
        <v>482</v>
      </c>
      <c r="I107" s="207">
        <f t="shared" si="1"/>
        <v>54.87261399</v>
      </c>
      <c r="J107" s="193" t="str">
        <f t="shared" si="2"/>
        <v>iShares USD Treasury Bond 20+yr UCITS ETF</v>
      </c>
      <c r="K107" s="209">
        <f t="shared" si="3"/>
        <v>72242</v>
      </c>
      <c r="L107" s="210">
        <f t="shared" si="4"/>
        <v>-269859.85</v>
      </c>
      <c r="M107" s="195" t="str">
        <f>IF(AND($N107&lt;&gt;"",$O107&lt;&gt;0),MAXIFS(Investment!$L:$L,Investment!$D:$D,$N107),"")</f>
        <v/>
      </c>
      <c r="N107" s="187"/>
      <c r="O107" s="126"/>
      <c r="P107" s="207"/>
    </row>
    <row r="108">
      <c r="A108" s="7">
        <v>43341.0</v>
      </c>
      <c r="B108" s="10" t="s">
        <v>374</v>
      </c>
      <c r="C108" s="10" t="s">
        <v>375</v>
      </c>
      <c r="D108" s="10" t="s">
        <v>362</v>
      </c>
      <c r="E108" s="10"/>
      <c r="F108" s="145"/>
      <c r="G108" s="191">
        <v>-3.15</v>
      </c>
      <c r="H108" s="10" t="s">
        <v>483</v>
      </c>
      <c r="I108" s="207" t="str">
        <f t="shared" si="1"/>
        <v/>
      </c>
      <c r="J108" s="193" t="str">
        <f t="shared" si="2"/>
        <v>iShares USD Treasury Bond 20+yr UCITS ETF</v>
      </c>
      <c r="K108" s="209">
        <f t="shared" si="3"/>
        <v>72242</v>
      </c>
      <c r="L108" s="210">
        <f t="shared" si="4"/>
        <v>-269859.85</v>
      </c>
      <c r="M108" s="195" t="str">
        <f>IF(AND($N108&lt;&gt;"",$O108&lt;&gt;0),MAXIFS(Investment!$L:$L,Investment!$D:$D,$N108),"")</f>
        <v/>
      </c>
      <c r="N108" s="187"/>
      <c r="O108" s="126"/>
      <c r="P108" s="207"/>
    </row>
    <row r="109">
      <c r="A109" s="7">
        <v>43341.0</v>
      </c>
      <c r="B109" s="10" t="s">
        <v>374</v>
      </c>
      <c r="C109" s="10" t="s">
        <v>375</v>
      </c>
      <c r="D109" s="10" t="s">
        <v>369</v>
      </c>
      <c r="E109" s="32">
        <v>1478.0</v>
      </c>
      <c r="F109" s="145">
        <v>3.885</v>
      </c>
      <c r="G109" s="191">
        <v>-5742.57</v>
      </c>
      <c r="H109" s="10" t="s">
        <v>484</v>
      </c>
      <c r="I109" s="207">
        <f t="shared" si="1"/>
        <v>170.856607</v>
      </c>
      <c r="J109" s="193" t="str">
        <f t="shared" si="2"/>
        <v>iShares USD Treasury Bond 20+yr UCITS ETF</v>
      </c>
      <c r="K109" s="209">
        <f t="shared" si="3"/>
        <v>72242</v>
      </c>
      <c r="L109" s="210">
        <f t="shared" si="4"/>
        <v>-269859.85</v>
      </c>
      <c r="M109" s="195" t="str">
        <f>IF(AND($N109&lt;&gt;"",$O109&lt;&gt;0),MAXIFS(Investment!$L:$L,Investment!$D:$D,$N109),"")</f>
        <v/>
      </c>
      <c r="N109" s="187"/>
      <c r="O109" s="126"/>
      <c r="P109" s="207"/>
    </row>
    <row r="110">
      <c r="A110" s="7">
        <v>43341.0</v>
      </c>
      <c r="B110" s="10" t="s">
        <v>379</v>
      </c>
      <c r="C110" s="10" t="s">
        <v>380</v>
      </c>
      <c r="D110" s="10" t="s">
        <v>369</v>
      </c>
      <c r="E110" s="10">
        <v>8.0</v>
      </c>
      <c r="F110" s="145">
        <v>162.14</v>
      </c>
      <c r="G110" s="191">
        <v>-1297.12</v>
      </c>
      <c r="H110" s="10" t="s">
        <v>485</v>
      </c>
      <c r="I110" s="207">
        <f t="shared" si="1"/>
        <v>51.12</v>
      </c>
      <c r="J110" s="193" t="str">
        <f t="shared" si="2"/>
        <v>iShares USD Treasury Bond 7-10yr UCITS ETF USD Dist</v>
      </c>
      <c r="K110" s="209">
        <f t="shared" si="3"/>
        <v>639</v>
      </c>
      <c r="L110" s="210">
        <f t="shared" si="4"/>
        <v>-100085.66</v>
      </c>
      <c r="M110" s="195" t="str">
        <f>IF(AND($N110&lt;&gt;"",$O110&lt;&gt;0),MAXIFS(Investment!$L:$L,Investment!$D:$D,$N110),"")</f>
        <v/>
      </c>
      <c r="N110" s="187"/>
      <c r="O110" s="126"/>
      <c r="P110" s="207"/>
    </row>
    <row r="111">
      <c r="A111" s="7">
        <v>43340.0</v>
      </c>
      <c r="B111" s="10" t="s">
        <v>374</v>
      </c>
      <c r="C111" s="10" t="s">
        <v>375</v>
      </c>
      <c r="D111" s="10" t="s">
        <v>362</v>
      </c>
      <c r="E111" s="10"/>
      <c r="F111" s="145"/>
      <c r="G111" s="191">
        <v>-2.9</v>
      </c>
      <c r="H111" s="10" t="s">
        <v>486</v>
      </c>
      <c r="I111" s="207" t="str">
        <f t="shared" si="1"/>
        <v/>
      </c>
      <c r="J111" s="193" t="str">
        <f t="shared" si="2"/>
        <v>iShares USD Treasury Bond 20+yr UCITS ETF</v>
      </c>
      <c r="K111" s="209">
        <f t="shared" si="3"/>
        <v>72242</v>
      </c>
      <c r="L111" s="210">
        <f t="shared" si="4"/>
        <v>-269859.85</v>
      </c>
      <c r="M111" s="195" t="str">
        <f>IF(AND($N111&lt;&gt;"",$O111&lt;&gt;0),MAXIFS(Investment!$L:$L,Investment!$D:$D,$N111),"")</f>
        <v/>
      </c>
      <c r="N111" s="187"/>
      <c r="O111" s="126"/>
      <c r="P111" s="207"/>
    </row>
    <row r="112">
      <c r="A112" s="7">
        <v>43340.0</v>
      </c>
      <c r="B112" s="10" t="s">
        <v>374</v>
      </c>
      <c r="C112" s="10" t="s">
        <v>375</v>
      </c>
      <c r="D112" s="10" t="s">
        <v>369</v>
      </c>
      <c r="E112" s="32">
        <v>1154.0</v>
      </c>
      <c r="F112" s="145">
        <v>3.9</v>
      </c>
      <c r="G112" s="191">
        <v>-4500.42</v>
      </c>
      <c r="H112" s="10" t="s">
        <v>487</v>
      </c>
      <c r="I112" s="207">
        <f t="shared" si="1"/>
        <v>116.6938731</v>
      </c>
      <c r="J112" s="193" t="str">
        <f t="shared" si="2"/>
        <v>iShares USD Treasury Bond 20+yr UCITS ETF</v>
      </c>
      <c r="K112" s="209">
        <f t="shared" si="3"/>
        <v>72242</v>
      </c>
      <c r="L112" s="210">
        <f t="shared" si="4"/>
        <v>-269859.85</v>
      </c>
      <c r="M112" s="195" t="str">
        <f>IF(AND($N112&lt;&gt;"",$O112&lt;&gt;0),MAXIFS(Investment!$L:$L,Investment!$D:$D,$N112),"")</f>
        <v/>
      </c>
      <c r="N112" s="187"/>
      <c r="O112" s="126"/>
      <c r="P112" s="207"/>
    </row>
    <row r="113">
      <c r="A113" s="7">
        <v>43339.0</v>
      </c>
      <c r="B113" s="10" t="s">
        <v>371</v>
      </c>
      <c r="C113" s="10" t="s">
        <v>372</v>
      </c>
      <c r="D113" s="10" t="s">
        <v>369</v>
      </c>
      <c r="E113" s="10">
        <v>84.0</v>
      </c>
      <c r="F113" s="145">
        <v>47.252</v>
      </c>
      <c r="G113" s="191">
        <v>-3969.17</v>
      </c>
      <c r="H113" s="10" t="s">
        <v>488</v>
      </c>
      <c r="I113" s="207">
        <f t="shared" si="1"/>
        <v>-453.938</v>
      </c>
      <c r="J113" s="193" t="str">
        <f t="shared" si="2"/>
        <v>Vanguard S&amp;P 500 UCITS ETF</v>
      </c>
      <c r="K113" s="209">
        <f t="shared" si="3"/>
        <v>5439</v>
      </c>
      <c r="L113" s="210">
        <f t="shared" si="4"/>
        <v>-238297.57</v>
      </c>
      <c r="M113" s="195" t="str">
        <f>IF(AND($N113&lt;&gt;"",$O113&lt;&gt;0),MAXIFS(Investment!$L:$L,Investment!$D:$D,$N113),"")</f>
        <v/>
      </c>
      <c r="N113" s="187"/>
      <c r="O113" s="126"/>
      <c r="P113" s="207"/>
    </row>
    <row r="114">
      <c r="A114" s="7">
        <v>43339.0</v>
      </c>
      <c r="B114" s="10" t="s">
        <v>367</v>
      </c>
      <c r="C114" s="10" t="s">
        <v>368</v>
      </c>
      <c r="D114" s="10" t="s">
        <v>369</v>
      </c>
      <c r="E114" s="10">
        <v>443.0</v>
      </c>
      <c r="F114" s="145">
        <v>7.358</v>
      </c>
      <c r="G114" s="191">
        <v>-3259.59</v>
      </c>
      <c r="H114" s="10" t="s">
        <v>489</v>
      </c>
      <c r="I114" s="207">
        <f t="shared" si="1"/>
        <v>-175.424</v>
      </c>
      <c r="J114" s="193" t="str">
        <f t="shared" si="2"/>
        <v>ETFS All Commodities</v>
      </c>
      <c r="K114" s="209">
        <f t="shared" si="3"/>
        <v>8201</v>
      </c>
      <c r="L114" s="210">
        <f t="shared" si="4"/>
        <v>-60467.84</v>
      </c>
      <c r="M114" s="195" t="str">
        <f>IF(AND($N114&lt;&gt;"",$O114&lt;&gt;0),MAXIFS(Investment!$L:$L,Investment!$D:$D,$N114),"")</f>
        <v/>
      </c>
      <c r="N114" s="187"/>
      <c r="O114" s="126"/>
      <c r="P114" s="207"/>
    </row>
    <row r="115">
      <c r="A115" s="7">
        <v>43339.0</v>
      </c>
      <c r="B115" s="10" t="s">
        <v>379</v>
      </c>
      <c r="C115" s="10" t="s">
        <v>380</v>
      </c>
      <c r="D115" s="10" t="s">
        <v>369</v>
      </c>
      <c r="E115" s="10">
        <v>19.0</v>
      </c>
      <c r="F115" s="145">
        <v>163.99</v>
      </c>
      <c r="G115" s="191">
        <v>-3115.81</v>
      </c>
      <c r="H115" s="10" t="s">
        <v>490</v>
      </c>
      <c r="I115" s="207">
        <f t="shared" si="1"/>
        <v>86.26</v>
      </c>
      <c r="J115" s="193" t="str">
        <f t="shared" si="2"/>
        <v>iShares USD Treasury Bond 7-10yr UCITS ETF USD Dist</v>
      </c>
      <c r="K115" s="209">
        <f t="shared" si="3"/>
        <v>639</v>
      </c>
      <c r="L115" s="210">
        <f t="shared" si="4"/>
        <v>-100085.66</v>
      </c>
      <c r="M115" s="195" t="str">
        <f>IF(AND($N115&lt;&gt;"",$O115&lt;&gt;0),MAXIFS(Investment!$L:$L,Investment!$D:$D,$N115),"")</f>
        <v/>
      </c>
      <c r="N115" s="187"/>
      <c r="O115" s="126"/>
      <c r="P115" s="207"/>
    </row>
    <row r="116">
      <c r="A116" s="7">
        <v>43339.0</v>
      </c>
      <c r="B116" s="10" t="s">
        <v>385</v>
      </c>
      <c r="C116" s="10" t="s">
        <v>386</v>
      </c>
      <c r="D116" s="10" t="s">
        <v>369</v>
      </c>
      <c r="E116" s="10">
        <v>31.0</v>
      </c>
      <c r="F116" s="145">
        <v>99.36</v>
      </c>
      <c r="G116" s="191">
        <v>-3080.16</v>
      </c>
      <c r="H116" s="10" t="s">
        <v>491</v>
      </c>
      <c r="I116" s="207">
        <f t="shared" si="1"/>
        <v>252.03</v>
      </c>
      <c r="J116" s="193" t="str">
        <f t="shared" si="2"/>
        <v>ETFS Physical Gold</v>
      </c>
      <c r="K116" s="209">
        <f t="shared" si="3"/>
        <v>506</v>
      </c>
      <c r="L116" s="210">
        <f t="shared" si="4"/>
        <v>-52182.08</v>
      </c>
      <c r="M116" s="195" t="str">
        <f>IF(AND($N116&lt;&gt;"",$O116&lt;&gt;0),MAXIFS(Investment!$L:$L,Investment!$D:$D,$N116),"")</f>
        <v/>
      </c>
      <c r="N116" s="187"/>
      <c r="O116" s="126"/>
      <c r="P116" s="207"/>
    </row>
    <row r="117">
      <c r="A117" s="7">
        <v>43318.0</v>
      </c>
      <c r="B117" s="10"/>
      <c r="C117" s="10"/>
      <c r="D117" s="10" t="s">
        <v>362</v>
      </c>
      <c r="F117" s="145"/>
      <c r="G117" s="191">
        <v>-467.55</v>
      </c>
      <c r="H117" s="10" t="s">
        <v>492</v>
      </c>
      <c r="I117" s="207" t="str">
        <f t="shared" si="1"/>
        <v/>
      </c>
      <c r="J117" s="193" t="str">
        <f t="shared" si="2"/>
        <v/>
      </c>
      <c r="K117" s="209" t="str">
        <f t="shared" si="3"/>
        <v/>
      </c>
      <c r="L117" s="209" t="str">
        <f t="shared" si="4"/>
        <v/>
      </c>
      <c r="M117" s="195" t="str">
        <f>IF(AND($N117&lt;&gt;"",$O117&lt;&gt;0),MAXIFS(Investment!$L:$L,Investment!$D:$D,$N117),"")</f>
        <v/>
      </c>
      <c r="N117" s="187"/>
      <c r="O117" s="126"/>
      <c r="P117" s="207"/>
    </row>
    <row r="118">
      <c r="A118" s="7">
        <v>43312.0</v>
      </c>
      <c r="B118" s="10" t="s">
        <v>374</v>
      </c>
      <c r="C118" s="10" t="s">
        <v>375</v>
      </c>
      <c r="D118" s="10" t="s">
        <v>362</v>
      </c>
      <c r="F118" s="145"/>
      <c r="G118" s="191">
        <v>-5.12</v>
      </c>
      <c r="H118" s="10" t="s">
        <v>493</v>
      </c>
      <c r="I118" s="207" t="str">
        <f t="shared" si="1"/>
        <v/>
      </c>
      <c r="J118" s="193" t="str">
        <f t="shared" si="2"/>
        <v>iShares USD Treasury Bond 20+yr UCITS ETF</v>
      </c>
      <c r="K118" s="209">
        <f t="shared" si="3"/>
        <v>72242</v>
      </c>
      <c r="L118" s="209">
        <f t="shared" si="4"/>
        <v>-269859.85</v>
      </c>
      <c r="M118" s="195" t="str">
        <f>IF(AND($N118&lt;&gt;"",$O118&lt;&gt;0),MAXIFS(Investment!$L:$L,Investment!$D:$D,$N118),"")</f>
        <v/>
      </c>
      <c r="N118" s="187"/>
      <c r="O118" s="126"/>
      <c r="P118" s="207"/>
    </row>
    <row r="119">
      <c r="A119" s="7">
        <v>43312.0</v>
      </c>
      <c r="B119" s="10" t="s">
        <v>374</v>
      </c>
      <c r="C119" s="10" t="s">
        <v>375</v>
      </c>
      <c r="D119" s="10" t="s">
        <v>369</v>
      </c>
      <c r="E119" s="32">
        <v>4074.0</v>
      </c>
      <c r="F119" s="145">
        <v>3.83</v>
      </c>
      <c r="G119" s="191">
        <v>-15601.5</v>
      </c>
      <c r="H119" s="10" t="s">
        <v>494</v>
      </c>
      <c r="I119" s="207">
        <f t="shared" si="1"/>
        <v>698.4323388</v>
      </c>
      <c r="J119" s="193" t="str">
        <f t="shared" si="2"/>
        <v>iShares USD Treasury Bond 20+yr UCITS ETF</v>
      </c>
      <c r="K119" s="209">
        <f t="shared" si="3"/>
        <v>72242</v>
      </c>
      <c r="L119" s="209">
        <f t="shared" si="4"/>
        <v>-269859.85</v>
      </c>
      <c r="M119" s="195" t="str">
        <f>IF(AND($N119&lt;&gt;"",$O119&lt;&gt;0),MAXIFS(Investment!$L:$L,Investment!$D:$D,$N119),"")</f>
        <v/>
      </c>
      <c r="N119" s="187"/>
      <c r="O119" s="126"/>
      <c r="P119" s="207"/>
    </row>
    <row r="120">
      <c r="A120" s="7">
        <v>43312.0</v>
      </c>
      <c r="B120" s="10" t="s">
        <v>371</v>
      </c>
      <c r="C120" s="10" t="s">
        <v>372</v>
      </c>
      <c r="D120" s="10" t="s">
        <v>369</v>
      </c>
      <c r="E120" s="10">
        <v>226.0</v>
      </c>
      <c r="F120" s="145">
        <v>45.477</v>
      </c>
      <c r="G120" s="191">
        <v>-10277.8</v>
      </c>
      <c r="H120" s="10" t="s">
        <v>495</v>
      </c>
      <c r="I120" s="207">
        <f t="shared" si="1"/>
        <v>-820.152</v>
      </c>
      <c r="J120" s="193" t="str">
        <f t="shared" si="2"/>
        <v>Vanguard S&amp;P 500 UCITS ETF</v>
      </c>
      <c r="K120" s="209">
        <f t="shared" si="3"/>
        <v>5439</v>
      </c>
      <c r="L120" s="209">
        <f t="shared" si="4"/>
        <v>-238297.57</v>
      </c>
      <c r="M120" s="195" t="str">
        <f>IF(AND($N120&lt;&gt;"",$O120&lt;&gt;0),MAXIFS(Investment!$L:$L,Investment!$D:$D,$N120),"")</f>
        <v/>
      </c>
      <c r="N120" s="187"/>
      <c r="O120" s="126"/>
      <c r="P120" s="207"/>
    </row>
    <row r="121">
      <c r="A121" s="7">
        <v>43312.0</v>
      </c>
      <c r="B121" s="10" t="s">
        <v>367</v>
      </c>
      <c r="C121" s="10" t="s">
        <v>368</v>
      </c>
      <c r="D121" s="10" t="s">
        <v>369</v>
      </c>
      <c r="E121" s="10">
        <v>203.0</v>
      </c>
      <c r="F121" s="145">
        <v>7.404</v>
      </c>
      <c r="G121" s="191">
        <v>-1503.01</v>
      </c>
      <c r="H121" s="10" t="s">
        <v>496</v>
      </c>
      <c r="I121" s="207">
        <f t="shared" si="1"/>
        <v>-89.724</v>
      </c>
      <c r="J121" s="193" t="str">
        <f t="shared" si="2"/>
        <v>ETFS All Commodities</v>
      </c>
      <c r="K121" s="209">
        <f t="shared" si="3"/>
        <v>8201</v>
      </c>
      <c r="L121" s="209">
        <f t="shared" si="4"/>
        <v>-60467.84</v>
      </c>
      <c r="M121" s="195" t="str">
        <f>IF(AND($N121&lt;&gt;"",$O121&lt;&gt;0),MAXIFS(Investment!$L:$L,Investment!$D:$D,$N121),"")</f>
        <v/>
      </c>
      <c r="N121" s="187"/>
      <c r="O121" s="126"/>
      <c r="P121" s="207"/>
    </row>
    <row r="122">
      <c r="A122" s="7">
        <v>43312.0</v>
      </c>
      <c r="B122" s="10" t="s">
        <v>379</v>
      </c>
      <c r="C122" s="10" t="s">
        <v>380</v>
      </c>
      <c r="D122" s="10" t="s">
        <v>369</v>
      </c>
      <c r="E122" s="10">
        <v>36.0</v>
      </c>
      <c r="F122" s="145">
        <v>160.27</v>
      </c>
      <c r="G122" s="191">
        <v>-5769.72</v>
      </c>
      <c r="H122" s="10" t="s">
        <v>497</v>
      </c>
      <c r="I122" s="207">
        <f t="shared" si="1"/>
        <v>297.36</v>
      </c>
      <c r="J122" s="193" t="str">
        <f t="shared" si="2"/>
        <v>iShares USD Treasury Bond 7-10yr UCITS ETF USD Dist</v>
      </c>
      <c r="K122" s="209">
        <f t="shared" si="3"/>
        <v>639</v>
      </c>
      <c r="L122" s="209">
        <f t="shared" si="4"/>
        <v>-100085.66</v>
      </c>
      <c r="M122" s="195" t="str">
        <f>IF(AND($N122&lt;&gt;"",$O122&lt;&gt;0),MAXIFS(Investment!$L:$L,Investment!$D:$D,$N122),"")</f>
        <v/>
      </c>
      <c r="N122" s="187"/>
      <c r="O122" s="126"/>
      <c r="P122" s="207"/>
    </row>
    <row r="123">
      <c r="A123" s="7">
        <v>43312.0</v>
      </c>
      <c r="B123" s="10" t="s">
        <v>385</v>
      </c>
      <c r="C123" s="10" t="s">
        <v>386</v>
      </c>
      <c r="D123" s="10" t="s">
        <v>369</v>
      </c>
      <c r="E123" s="10">
        <v>29.0</v>
      </c>
      <c r="F123" s="145">
        <v>99.77</v>
      </c>
      <c r="G123" s="191">
        <v>-2893.33</v>
      </c>
      <c r="H123" s="10" t="s">
        <v>498</v>
      </c>
      <c r="I123" s="207">
        <f t="shared" si="1"/>
        <v>223.88</v>
      </c>
      <c r="J123" s="193" t="str">
        <f t="shared" si="2"/>
        <v>ETFS Physical Gold</v>
      </c>
      <c r="K123" s="209">
        <f t="shared" si="3"/>
        <v>506</v>
      </c>
      <c r="L123" s="209">
        <f t="shared" si="4"/>
        <v>-52182.08</v>
      </c>
      <c r="M123" s="195" t="str">
        <f>IF(AND($N123&lt;&gt;"",$O123&lt;&gt;0),MAXIFS(Investment!$L:$L,Investment!$D:$D,$N123),"")</f>
        <v/>
      </c>
      <c r="N123" s="187"/>
      <c r="O123" s="126"/>
      <c r="P123" s="207"/>
    </row>
    <row r="124">
      <c r="A124" s="7">
        <v>43304.0</v>
      </c>
      <c r="B124" s="10" t="s">
        <v>374</v>
      </c>
      <c r="C124" s="10" t="s">
        <v>375</v>
      </c>
      <c r="D124" s="10" t="s">
        <v>362</v>
      </c>
      <c r="E124" s="32"/>
      <c r="F124" s="145"/>
      <c r="G124" s="191">
        <v>-25.99</v>
      </c>
      <c r="H124" s="10" t="s">
        <v>499</v>
      </c>
      <c r="I124" s="193" t="str">
        <f t="shared" si="1"/>
        <v/>
      </c>
      <c r="J124" s="193" t="str">
        <f t="shared" si="2"/>
        <v>iShares USD Treasury Bond 20+yr UCITS ETF</v>
      </c>
      <c r="K124" s="126">
        <f t="shared" si="3"/>
        <v>72242</v>
      </c>
      <c r="L124" s="126">
        <f t="shared" si="4"/>
        <v>-269859.85</v>
      </c>
      <c r="M124" s="195" t="str">
        <f>IF(AND($N124&lt;&gt;"",$O124&lt;&gt;0),MAXIFS(Investment!$L:$L,Investment!$D:$D,$N124),"")</f>
        <v/>
      </c>
      <c r="N124" s="187"/>
      <c r="O124" s="126"/>
      <c r="P124" s="207"/>
    </row>
    <row r="125">
      <c r="A125" s="7">
        <v>43304.0</v>
      </c>
      <c r="B125" s="10" t="s">
        <v>374</v>
      </c>
      <c r="C125" s="10" t="s">
        <v>375</v>
      </c>
      <c r="D125" s="10" t="s">
        <v>369</v>
      </c>
      <c r="E125" s="32">
        <v>31102.0</v>
      </c>
      <c r="F125" s="145">
        <v>3.857</v>
      </c>
      <c r="G125" s="191">
        <v>-119971.61</v>
      </c>
      <c r="H125" s="10" t="s">
        <v>500</v>
      </c>
      <c r="I125" s="193">
        <f t="shared" si="1"/>
        <v>4466.410521</v>
      </c>
      <c r="J125" s="193" t="str">
        <f t="shared" si="2"/>
        <v>iShares USD Treasury Bond 20+yr UCITS ETF</v>
      </c>
      <c r="K125" s="126">
        <f t="shared" si="3"/>
        <v>72242</v>
      </c>
      <c r="L125" s="126">
        <f t="shared" si="4"/>
        <v>-269859.85</v>
      </c>
      <c r="M125" s="195" t="str">
        <f>IF(AND($N125&lt;&gt;"",$O125&lt;&gt;0),MAXIFS(Investment!$L:$L,Investment!$D:$D,$N125),"")</f>
        <v/>
      </c>
      <c r="N125" s="187"/>
      <c r="O125" s="126"/>
      <c r="P125" s="207"/>
    </row>
    <row r="126">
      <c r="A126" s="7">
        <v>43304.0</v>
      </c>
      <c r="B126" s="10" t="s">
        <v>371</v>
      </c>
      <c r="C126" s="10" t="s">
        <v>372</v>
      </c>
      <c r="D126" s="10" t="s">
        <v>369</v>
      </c>
      <c r="E126" s="32">
        <v>1926.0</v>
      </c>
      <c r="F126" s="145">
        <v>45.323</v>
      </c>
      <c r="G126" s="191">
        <v>-87292.1</v>
      </c>
      <c r="H126" s="10" t="s">
        <v>501</v>
      </c>
      <c r="I126" s="193">
        <f t="shared" si="1"/>
        <v>-6692.852</v>
      </c>
      <c r="J126" s="193" t="str">
        <f t="shared" si="2"/>
        <v>Vanguard S&amp;P 500 UCITS ETF</v>
      </c>
      <c r="K126" s="126">
        <f t="shared" si="3"/>
        <v>5439</v>
      </c>
      <c r="L126" s="126">
        <f t="shared" si="4"/>
        <v>-238297.57</v>
      </c>
      <c r="M126" s="195" t="str">
        <f>IF(AND($N126&lt;&gt;"",$O126&lt;&gt;0),MAXIFS(Investment!$L:$L,Investment!$D:$D,$N126),"")</f>
        <v/>
      </c>
      <c r="N126" s="187"/>
      <c r="O126" s="126"/>
      <c r="P126" s="207"/>
    </row>
    <row r="127">
      <c r="A127" s="7">
        <v>43304.0</v>
      </c>
      <c r="B127" s="10" t="s">
        <v>379</v>
      </c>
      <c r="C127" s="10" t="s">
        <v>380</v>
      </c>
      <c r="D127" s="10" t="s">
        <v>369</v>
      </c>
      <c r="E127" s="32">
        <v>273.0</v>
      </c>
      <c r="F127" s="145">
        <v>160.85</v>
      </c>
      <c r="G127" s="191">
        <v>-43912.05</v>
      </c>
      <c r="H127" s="10" t="s">
        <v>502</v>
      </c>
      <c r="I127" s="193">
        <f t="shared" si="1"/>
        <v>2096.64</v>
      </c>
      <c r="J127" s="193" t="str">
        <f t="shared" si="2"/>
        <v>iShares USD Treasury Bond 7-10yr UCITS ETF USD Dist</v>
      </c>
      <c r="K127" s="126">
        <f t="shared" si="3"/>
        <v>639</v>
      </c>
      <c r="L127" s="126">
        <f t="shared" si="4"/>
        <v>-100085.66</v>
      </c>
      <c r="M127" s="195" t="str">
        <f>IF(AND($N127&lt;&gt;"",$O127&lt;&gt;0),MAXIFS(Investment!$L:$L,Investment!$D:$D,$N127),"")</f>
        <v/>
      </c>
      <c r="N127" s="187"/>
      <c r="O127" s="126"/>
      <c r="P127" s="207"/>
    </row>
    <row r="128">
      <c r="A128" s="7">
        <v>43297.0</v>
      </c>
      <c r="B128" s="10" t="s">
        <v>367</v>
      </c>
      <c r="C128" s="10" t="s">
        <v>368</v>
      </c>
      <c r="D128" s="10" t="s">
        <v>369</v>
      </c>
      <c r="E128" s="32">
        <v>3336.0</v>
      </c>
      <c r="F128" s="145">
        <v>7.303</v>
      </c>
      <c r="G128" s="191">
        <v>-24362.81</v>
      </c>
      <c r="H128" s="10" t="s">
        <v>503</v>
      </c>
      <c r="I128" s="193">
        <f t="shared" si="1"/>
        <v>-1137.578</v>
      </c>
      <c r="J128" s="193" t="str">
        <f t="shared" si="2"/>
        <v>ETFS All Commodities</v>
      </c>
      <c r="K128" s="126">
        <f t="shared" si="3"/>
        <v>8201</v>
      </c>
      <c r="L128" s="126">
        <f t="shared" si="4"/>
        <v>-60467.84</v>
      </c>
      <c r="M128" s="195" t="str">
        <f>IF(AND($N128&lt;&gt;"",$O128&lt;&gt;0),MAXIFS(Investment!$L:$L,Investment!$D:$D,$N128),"")</f>
        <v/>
      </c>
      <c r="N128" s="187"/>
      <c r="O128" s="126"/>
      <c r="P128" s="207"/>
    </row>
    <row r="129">
      <c r="A129" s="7">
        <v>43297.0</v>
      </c>
      <c r="B129" s="10" t="s">
        <v>385</v>
      </c>
      <c r="C129" s="10" t="s">
        <v>386</v>
      </c>
      <c r="D129" s="10" t="s">
        <v>369</v>
      </c>
      <c r="E129" s="10">
        <v>235.0</v>
      </c>
      <c r="F129" s="145">
        <v>101.75</v>
      </c>
      <c r="G129" s="191">
        <v>-23911.25</v>
      </c>
      <c r="H129" s="10" t="s">
        <v>504</v>
      </c>
      <c r="I129" s="193">
        <f t="shared" si="1"/>
        <v>1348.9</v>
      </c>
      <c r="J129" s="193" t="str">
        <f t="shared" si="2"/>
        <v>ETFS Physical Gold</v>
      </c>
      <c r="K129" s="126">
        <f t="shared" si="3"/>
        <v>506</v>
      </c>
      <c r="L129" s="126">
        <f t="shared" si="4"/>
        <v>-52182.08</v>
      </c>
      <c r="M129" s="195" t="str">
        <f>IF(AND($N129&lt;&gt;"",$O129&lt;&gt;0),MAXIFS(Investment!$L:$L,Investment!$D:$D,$N129),"")</f>
        <v/>
      </c>
      <c r="N129" s="187"/>
      <c r="O129" s="126"/>
      <c r="P129" s="207"/>
    </row>
    <row r="130">
      <c r="A130" s="7">
        <v>43291.0</v>
      </c>
      <c r="B130" s="10"/>
      <c r="C130" s="10"/>
      <c r="D130" s="10" t="s">
        <v>364</v>
      </c>
      <c r="F130" s="145"/>
      <c r="G130" s="191">
        <v>108000.0</v>
      </c>
      <c r="H130" s="211" t="s">
        <v>505</v>
      </c>
      <c r="I130" s="193" t="str">
        <f t="shared" si="1"/>
        <v/>
      </c>
      <c r="J130" s="193" t="str">
        <f t="shared" si="2"/>
        <v/>
      </c>
      <c r="K130" s="126" t="str">
        <f t="shared" si="3"/>
        <v/>
      </c>
      <c r="L130" s="126" t="str">
        <f t="shared" si="4"/>
        <v/>
      </c>
      <c r="M130" s="195" t="str">
        <f>IF(AND($N130&lt;&gt;"",$O130&lt;&gt;0),MAXIFS(Investment!$L:$L,Investment!$D:$D,$N130),"")</f>
        <v/>
      </c>
      <c r="N130" s="187"/>
      <c r="O130" s="126"/>
      <c r="P130" s="207"/>
    </row>
    <row r="131">
      <c r="A131" s="7">
        <v>43287.0</v>
      </c>
      <c r="B131" s="10" t="s">
        <v>371</v>
      </c>
      <c r="C131" s="10" t="s">
        <v>372</v>
      </c>
      <c r="D131" s="10" t="s">
        <v>376</v>
      </c>
      <c r="F131" s="145"/>
      <c r="G131" s="191">
        <v>-72.97</v>
      </c>
      <c r="H131" s="211" t="s">
        <v>506</v>
      </c>
      <c r="I131" s="193" t="str">
        <f t="shared" si="1"/>
        <v/>
      </c>
      <c r="J131" s="193" t="str">
        <f t="shared" si="2"/>
        <v>Vanguard S&amp;P 500 UCITS ETF</v>
      </c>
      <c r="K131" s="126">
        <f t="shared" si="3"/>
        <v>5439</v>
      </c>
      <c r="L131" s="126">
        <f t="shared" si="4"/>
        <v>-238297.57</v>
      </c>
      <c r="M131" s="195" t="str">
        <f>IF(AND($N131&lt;&gt;"",$O131&lt;&gt;0),MAXIFS(Investment!$L:$L,Investment!$D:$D,$N131),"")</f>
        <v/>
      </c>
      <c r="N131" s="187"/>
      <c r="O131" s="126"/>
      <c r="P131" s="207"/>
    </row>
    <row r="132">
      <c r="A132" s="7">
        <v>43286.0</v>
      </c>
      <c r="B132" s="10"/>
      <c r="C132" s="10"/>
      <c r="D132" s="10" t="s">
        <v>362</v>
      </c>
      <c r="F132" s="145"/>
      <c r="G132" s="191">
        <v>-276.19</v>
      </c>
      <c r="H132" s="211" t="s">
        <v>507</v>
      </c>
      <c r="I132" s="193" t="str">
        <f t="shared" si="1"/>
        <v/>
      </c>
      <c r="J132" s="193" t="str">
        <f t="shared" si="2"/>
        <v/>
      </c>
      <c r="K132" s="126" t="str">
        <f t="shared" si="3"/>
        <v/>
      </c>
      <c r="L132" s="126" t="str">
        <f t="shared" si="4"/>
        <v/>
      </c>
      <c r="M132" s="195" t="str">
        <f>IF(AND($N132&lt;&gt;"",$O132&lt;&gt;0),MAXIFS(Investment!$L:$L,Investment!$D:$D,$N132),"")</f>
        <v/>
      </c>
      <c r="N132" s="187"/>
      <c r="O132" s="126"/>
      <c r="P132" s="207"/>
    </row>
    <row r="133">
      <c r="A133" s="7">
        <v>43286.0</v>
      </c>
      <c r="B133" s="10" t="s">
        <v>371</v>
      </c>
      <c r="C133" s="10" t="s">
        <v>372</v>
      </c>
      <c r="D133" s="10" t="s">
        <v>376</v>
      </c>
      <c r="F133" s="145"/>
      <c r="G133" s="191">
        <v>501.26</v>
      </c>
      <c r="H133" s="211" t="s">
        <v>508</v>
      </c>
      <c r="I133" s="193" t="str">
        <f t="shared" si="1"/>
        <v/>
      </c>
      <c r="J133" s="193" t="str">
        <f t="shared" si="2"/>
        <v>Vanguard S&amp;P 500 UCITS ETF</v>
      </c>
      <c r="K133" s="126">
        <f t="shared" si="3"/>
        <v>5439</v>
      </c>
      <c r="L133" s="126">
        <f t="shared" si="4"/>
        <v>-238297.57</v>
      </c>
      <c r="M133" s="195" t="str">
        <f>IF(AND($N133&lt;&gt;"",$O133&lt;&gt;0),MAXIFS(Investment!$L:$L,Investment!$D:$D,$N133),"")</f>
        <v/>
      </c>
      <c r="N133" s="187"/>
      <c r="O133" s="126"/>
      <c r="P133" s="207"/>
    </row>
    <row r="134">
      <c r="A134" s="7">
        <v>43281.0</v>
      </c>
      <c r="B134" s="10" t="s">
        <v>374</v>
      </c>
      <c r="C134" s="10" t="s">
        <v>375</v>
      </c>
      <c r="D134" s="10" t="s">
        <v>376</v>
      </c>
      <c r="F134" s="145"/>
      <c r="G134" s="191">
        <v>-0.04</v>
      </c>
      <c r="H134" s="211" t="s">
        <v>509</v>
      </c>
      <c r="I134" s="193" t="str">
        <f t="shared" si="1"/>
        <v/>
      </c>
      <c r="J134" s="193" t="str">
        <f t="shared" si="2"/>
        <v>iShares USD Treasury Bond 20+yr UCITS ETF</v>
      </c>
      <c r="K134" s="126">
        <f t="shared" si="3"/>
        <v>72242</v>
      </c>
      <c r="L134" s="126">
        <f t="shared" si="4"/>
        <v>-269859.85</v>
      </c>
      <c r="M134" s="195" t="str">
        <f>IF(AND($N134&lt;&gt;"",$O134&lt;&gt;0),MAXIFS(Investment!$L:$L,Investment!$D:$D,$N134),"")</f>
        <v/>
      </c>
      <c r="N134" s="187"/>
      <c r="O134" s="126"/>
      <c r="P134" s="207"/>
    </row>
    <row r="135">
      <c r="A135" s="7">
        <v>43280.0</v>
      </c>
      <c r="B135" s="10" t="s">
        <v>374</v>
      </c>
      <c r="C135" s="10" t="s">
        <v>375</v>
      </c>
      <c r="D135" s="10" t="s">
        <v>376</v>
      </c>
      <c r="F135" s="145"/>
      <c r="G135" s="191">
        <v>-329.67</v>
      </c>
      <c r="H135" s="211" t="s">
        <v>510</v>
      </c>
      <c r="I135" s="193" t="str">
        <f t="shared" si="1"/>
        <v/>
      </c>
      <c r="J135" s="193" t="str">
        <f t="shared" si="2"/>
        <v>iShares USD Treasury Bond 20+yr UCITS ETF</v>
      </c>
      <c r="K135" s="126">
        <f t="shared" si="3"/>
        <v>72242</v>
      </c>
      <c r="L135" s="126">
        <f t="shared" si="4"/>
        <v>-269859.85</v>
      </c>
      <c r="M135" s="195" t="str">
        <f>IF(AND($N135&lt;&gt;"",$O135&lt;&gt;0),MAXIFS(Investment!$L:$L,Investment!$D:$D,$N135),"")</f>
        <v/>
      </c>
      <c r="N135" s="187"/>
      <c r="O135" s="126"/>
      <c r="P135" s="207"/>
    </row>
    <row r="136">
      <c r="A136" s="7">
        <v>43279.0</v>
      </c>
      <c r="B136" s="10" t="s">
        <v>374</v>
      </c>
      <c r="C136" s="10" t="s">
        <v>375</v>
      </c>
      <c r="D136" s="10" t="s">
        <v>376</v>
      </c>
      <c r="F136" s="145"/>
      <c r="G136" s="191">
        <v>2415.73</v>
      </c>
      <c r="H136" s="10" t="s">
        <v>511</v>
      </c>
      <c r="I136" s="193" t="str">
        <f t="shared" si="1"/>
        <v/>
      </c>
      <c r="J136" s="193" t="str">
        <f t="shared" si="2"/>
        <v>iShares USD Treasury Bond 20+yr UCITS ETF</v>
      </c>
      <c r="K136" s="126">
        <f t="shared" si="3"/>
        <v>72242</v>
      </c>
      <c r="L136" s="126">
        <f t="shared" si="4"/>
        <v>-269859.85</v>
      </c>
      <c r="M136" s="195" t="str">
        <f>IF(AND($N136&lt;&gt;"",$O136&lt;&gt;0),MAXIFS(Investment!$L:$L,Investment!$D:$D,$N136),"")</f>
        <v/>
      </c>
      <c r="N136" s="187"/>
      <c r="O136" s="126"/>
      <c r="P136" s="207"/>
    </row>
    <row r="137">
      <c r="A137" s="7">
        <v>43259.0</v>
      </c>
      <c r="B137" s="10" t="s">
        <v>367</v>
      </c>
      <c r="C137" s="212" t="s">
        <v>368</v>
      </c>
      <c r="D137" s="10" t="s">
        <v>369</v>
      </c>
      <c r="E137" s="10">
        <v>897.0</v>
      </c>
      <c r="F137" s="145">
        <v>7.768</v>
      </c>
      <c r="G137" s="191">
        <v>-6967.9</v>
      </c>
      <c r="H137" s="10" t="s">
        <v>512</v>
      </c>
      <c r="I137" s="193">
        <f t="shared" si="1"/>
        <v>-722.986</v>
      </c>
      <c r="J137" s="193" t="str">
        <f t="shared" si="2"/>
        <v>ETFS All Commodities</v>
      </c>
      <c r="K137" s="126">
        <f t="shared" si="3"/>
        <v>8201</v>
      </c>
      <c r="L137" s="126">
        <f t="shared" si="4"/>
        <v>-60467.84</v>
      </c>
      <c r="M137" s="195" t="str">
        <f>IF(AND($N137&lt;&gt;"",$O137&lt;&gt;0),MAXIFS(Investment!$L:$L,Investment!$D:$D,$N137),"")</f>
        <v/>
      </c>
      <c r="N137" s="187"/>
      <c r="O137" s="126"/>
      <c r="P137" s="207"/>
    </row>
    <row r="138">
      <c r="A138" s="7">
        <v>43259.0</v>
      </c>
      <c r="B138" s="10" t="s">
        <v>385</v>
      </c>
      <c r="C138" s="212" t="s">
        <v>386</v>
      </c>
      <c r="D138" s="10" t="s">
        <v>369</v>
      </c>
      <c r="E138" s="10">
        <v>68.0</v>
      </c>
      <c r="F138" s="145">
        <v>105.33</v>
      </c>
      <c r="G138" s="191">
        <v>-7162.44</v>
      </c>
      <c r="H138" s="10" t="s">
        <v>513</v>
      </c>
      <c r="I138" s="193">
        <f t="shared" si="1"/>
        <v>146.88</v>
      </c>
      <c r="J138" s="193" t="str">
        <f t="shared" si="2"/>
        <v>ETFS Physical Gold</v>
      </c>
      <c r="K138" s="126">
        <f t="shared" si="3"/>
        <v>506</v>
      </c>
      <c r="L138" s="126">
        <f t="shared" si="4"/>
        <v>-52182.08</v>
      </c>
      <c r="M138" s="195" t="str">
        <f>IF(AND($N138&lt;&gt;"",$O138&lt;&gt;0),MAXIFS(Investment!$L:$L,Investment!$D:$D,$N138),"")</f>
        <v/>
      </c>
      <c r="N138" s="187"/>
      <c r="O138" s="126"/>
      <c r="P138" s="207"/>
    </row>
    <row r="139">
      <c r="A139" s="7">
        <v>43259.0</v>
      </c>
      <c r="B139" s="10" t="s">
        <v>371</v>
      </c>
      <c r="C139" s="212" t="s">
        <v>372</v>
      </c>
      <c r="D139" s="10" t="s">
        <v>369</v>
      </c>
      <c r="E139" s="10">
        <v>630.0</v>
      </c>
      <c r="F139" s="145">
        <v>44.718</v>
      </c>
      <c r="G139" s="191">
        <v>-28172.34</v>
      </c>
      <c r="H139" s="10" t="s">
        <v>514</v>
      </c>
      <c r="I139" s="193">
        <f t="shared" si="1"/>
        <v>-1808.1</v>
      </c>
      <c r="J139" s="193" t="str">
        <f t="shared" si="2"/>
        <v>Vanguard S&amp;P 500 UCITS ETF</v>
      </c>
      <c r="K139" s="126">
        <f t="shared" si="3"/>
        <v>5439</v>
      </c>
      <c r="L139" s="126">
        <f t="shared" si="4"/>
        <v>-238297.57</v>
      </c>
      <c r="M139" s="195" t="str">
        <f>IF(AND($N139&lt;&gt;"",$O139&lt;&gt;0),MAXIFS(Investment!$L:$L,Investment!$D:$D,$N139),"")</f>
        <v/>
      </c>
      <c r="N139" s="187"/>
      <c r="O139" s="126"/>
      <c r="P139" s="207"/>
    </row>
    <row r="140">
      <c r="A140" s="7">
        <v>43259.0</v>
      </c>
      <c r="B140" s="10" t="s">
        <v>374</v>
      </c>
      <c r="C140" s="212" t="s">
        <v>375</v>
      </c>
      <c r="D140" s="10" t="s">
        <v>362</v>
      </c>
      <c r="E140" s="10"/>
      <c r="F140" s="145"/>
      <c r="G140" s="191">
        <v>-10.09</v>
      </c>
      <c r="H140" s="10" t="s">
        <v>515</v>
      </c>
      <c r="I140" s="193" t="str">
        <f t="shared" si="1"/>
        <v/>
      </c>
      <c r="J140" s="193" t="str">
        <f t="shared" si="2"/>
        <v>iShares USD Treasury Bond 20+yr UCITS ETF</v>
      </c>
      <c r="K140" s="126">
        <f t="shared" si="3"/>
        <v>72242</v>
      </c>
      <c r="L140" s="126">
        <f t="shared" si="4"/>
        <v>-269859.85</v>
      </c>
      <c r="M140" s="195" t="str">
        <f>IF(AND($N140&lt;&gt;"",$O140&lt;&gt;0),MAXIFS(Investment!$L:$L,Investment!$D:$D,$N140),"")</f>
        <v/>
      </c>
      <c r="N140" s="187"/>
      <c r="O140" s="126"/>
      <c r="P140" s="207"/>
    </row>
    <row r="141">
      <c r="A141" s="7">
        <v>43259.0</v>
      </c>
      <c r="B141" s="10" t="s">
        <v>374</v>
      </c>
      <c r="C141" s="212" t="s">
        <v>375</v>
      </c>
      <c r="D141" s="10" t="s">
        <v>369</v>
      </c>
      <c r="E141" s="32">
        <v>10452.0</v>
      </c>
      <c r="F141" s="145">
        <v>3.869</v>
      </c>
      <c r="G141" s="191">
        <v>-40435.8</v>
      </c>
      <c r="H141" s="10" t="s">
        <v>516</v>
      </c>
      <c r="I141" s="193">
        <f t="shared" si="1"/>
        <v>1382.288563</v>
      </c>
      <c r="J141" s="193" t="str">
        <f t="shared" si="2"/>
        <v>iShares USD Treasury Bond 20+yr UCITS ETF</v>
      </c>
      <c r="K141" s="126">
        <f t="shared" si="3"/>
        <v>72242</v>
      </c>
      <c r="L141" s="126">
        <f t="shared" si="4"/>
        <v>-269859.85</v>
      </c>
      <c r="M141" s="195" t="str">
        <f>IF(AND($N141&lt;&gt;"",$O141&lt;&gt;0),MAXIFS(Investment!$L:$L,Investment!$D:$D,$N141),"")</f>
        <v/>
      </c>
      <c r="N141" s="187"/>
      <c r="O141" s="126"/>
      <c r="P141" s="207"/>
    </row>
    <row r="142">
      <c r="A142" s="7">
        <v>43259.0</v>
      </c>
      <c r="B142" s="10" t="s">
        <v>379</v>
      </c>
      <c r="C142" s="212" t="s">
        <v>380</v>
      </c>
      <c r="D142" s="10" t="s">
        <v>369</v>
      </c>
      <c r="E142" s="10">
        <v>93.0</v>
      </c>
      <c r="F142" s="145">
        <v>159.71</v>
      </c>
      <c r="G142" s="191">
        <v>-14853.03</v>
      </c>
      <c r="H142" s="10" t="s">
        <v>517</v>
      </c>
      <c r="I142" s="193">
        <f t="shared" si="1"/>
        <v>820.26</v>
      </c>
      <c r="J142" s="193" t="str">
        <f t="shared" si="2"/>
        <v>iShares USD Treasury Bond 7-10yr UCITS ETF USD Dist</v>
      </c>
      <c r="K142" s="126">
        <f t="shared" si="3"/>
        <v>639</v>
      </c>
      <c r="L142" s="126">
        <f t="shared" si="4"/>
        <v>-100085.66</v>
      </c>
      <c r="M142" s="195" t="str">
        <f>IF(AND($N142&lt;&gt;"",$O142&lt;&gt;0),MAXIFS(Investment!$L:$L,Investment!$D:$D,$N142),"")</f>
        <v/>
      </c>
      <c r="N142" s="187"/>
      <c r="O142" s="126"/>
      <c r="P142" s="207"/>
    </row>
    <row r="143">
      <c r="A143" s="7">
        <v>43258.0</v>
      </c>
      <c r="B143" s="10"/>
      <c r="C143" s="212"/>
      <c r="D143" s="10" t="s">
        <v>364</v>
      </c>
      <c r="E143" s="10"/>
      <c r="F143" s="145"/>
      <c r="G143" s="191">
        <v>25000.0</v>
      </c>
      <c r="H143" s="10" t="s">
        <v>518</v>
      </c>
      <c r="I143" s="193" t="str">
        <f t="shared" si="1"/>
        <v/>
      </c>
      <c r="J143" s="193" t="str">
        <f t="shared" si="2"/>
        <v/>
      </c>
      <c r="K143" s="126" t="str">
        <f t="shared" si="3"/>
        <v/>
      </c>
      <c r="L143" s="126" t="str">
        <f t="shared" si="4"/>
        <v/>
      </c>
      <c r="M143" s="195" t="str">
        <f>IF(AND($N143&lt;&gt;"",$O143&lt;&gt;0),MAXIFS(Investment!$L:$L,Investment!$D:$D,$N143),"")</f>
        <v/>
      </c>
      <c r="N143" s="187"/>
      <c r="O143" s="126"/>
      <c r="P143" s="207"/>
    </row>
    <row r="144">
      <c r="A144" s="7">
        <v>43257.0</v>
      </c>
      <c r="B144" s="10"/>
      <c r="C144" s="212"/>
      <c r="D144" s="10" t="s">
        <v>362</v>
      </c>
      <c r="E144" s="10"/>
      <c r="F144" s="145"/>
      <c r="G144" s="191">
        <v>-2.5</v>
      </c>
      <c r="H144" s="10" t="s">
        <v>519</v>
      </c>
      <c r="I144" s="193" t="str">
        <f t="shared" si="1"/>
        <v/>
      </c>
      <c r="J144" s="193" t="str">
        <f t="shared" si="2"/>
        <v/>
      </c>
      <c r="K144" s="126" t="str">
        <f t="shared" si="3"/>
        <v/>
      </c>
      <c r="L144" s="126" t="str">
        <f t="shared" si="4"/>
        <v/>
      </c>
      <c r="M144" s="195" t="str">
        <f>IF(AND($N144&lt;&gt;"",$O144&lt;&gt;0),MAXIFS(Investment!$L:$L,Investment!$D:$D,$N144),"")</f>
        <v/>
      </c>
      <c r="N144" s="187"/>
      <c r="O144" s="126"/>
      <c r="P144" s="207"/>
    </row>
    <row r="145">
      <c r="A145" s="7">
        <v>43256.0</v>
      </c>
      <c r="B145" s="10"/>
      <c r="C145" s="212"/>
      <c r="D145" s="10" t="s">
        <v>362</v>
      </c>
      <c r="E145" s="10"/>
      <c r="F145" s="145"/>
      <c r="G145" s="191">
        <v>-161.46</v>
      </c>
      <c r="H145" s="10" t="s">
        <v>520</v>
      </c>
      <c r="I145" s="193" t="str">
        <f t="shared" si="1"/>
        <v/>
      </c>
      <c r="J145" s="193" t="str">
        <f t="shared" si="2"/>
        <v/>
      </c>
      <c r="K145" s="126" t="str">
        <f t="shared" si="3"/>
        <v/>
      </c>
      <c r="L145" s="126" t="str">
        <f t="shared" si="4"/>
        <v/>
      </c>
      <c r="M145" s="195" t="str">
        <f>IF(AND($N145&lt;&gt;"",$O145&lt;&gt;0),MAXIFS(Investment!$L:$L,Investment!$D:$D,$N145),"")</f>
        <v/>
      </c>
      <c r="N145" s="187"/>
      <c r="O145" s="126"/>
      <c r="P145" s="207"/>
    </row>
    <row r="146">
      <c r="A146" s="7">
        <v>43256.0</v>
      </c>
      <c r="B146" s="10" t="s">
        <v>367</v>
      </c>
      <c r="C146" s="212" t="s">
        <v>368</v>
      </c>
      <c r="D146" s="10" t="s">
        <v>369</v>
      </c>
      <c r="E146" s="10">
        <v>163.0</v>
      </c>
      <c r="F146" s="145">
        <v>7.8</v>
      </c>
      <c r="G146" s="191">
        <v>-1271.4</v>
      </c>
      <c r="H146" s="10" t="s">
        <v>521</v>
      </c>
      <c r="I146" s="193">
        <f t="shared" si="1"/>
        <v>-136.594</v>
      </c>
      <c r="J146" s="193" t="str">
        <f t="shared" si="2"/>
        <v>ETFS All Commodities</v>
      </c>
      <c r="K146" s="126">
        <f t="shared" si="3"/>
        <v>8201</v>
      </c>
      <c r="L146" s="126">
        <f t="shared" si="4"/>
        <v>-60467.84</v>
      </c>
      <c r="M146" s="195" t="str">
        <f>IF(AND($N146&lt;&gt;"",$O146&lt;&gt;0),MAXIFS(Investment!$L:$L,Investment!$D:$D,$N146),"")</f>
        <v/>
      </c>
      <c r="N146" s="187"/>
      <c r="O146" s="126"/>
      <c r="P146" s="207"/>
    </row>
    <row r="147">
      <c r="A147" s="7">
        <v>43255.0</v>
      </c>
      <c r="B147" s="10" t="s">
        <v>374</v>
      </c>
      <c r="C147" s="212" t="s">
        <v>375</v>
      </c>
      <c r="D147" s="10" t="s">
        <v>362</v>
      </c>
      <c r="F147" s="145"/>
      <c r="G147" s="191">
        <v>-3.82</v>
      </c>
      <c r="H147" s="10" t="s">
        <v>522</v>
      </c>
      <c r="I147" s="193" t="str">
        <f t="shared" si="1"/>
        <v/>
      </c>
      <c r="J147" s="193" t="str">
        <f t="shared" si="2"/>
        <v>iShares USD Treasury Bond 20+yr UCITS ETF</v>
      </c>
      <c r="K147" s="126">
        <f t="shared" si="3"/>
        <v>72242</v>
      </c>
      <c r="L147" s="126">
        <f t="shared" si="4"/>
        <v>-269859.85</v>
      </c>
      <c r="M147" s="195" t="str">
        <f>IF(AND($N147&lt;&gt;"",$O147&lt;&gt;0),MAXIFS(Investment!$L:$L,Investment!$D:$D,$N147),"")</f>
        <v/>
      </c>
      <c r="N147" s="187"/>
      <c r="O147" s="126"/>
      <c r="P147" s="207"/>
    </row>
    <row r="148">
      <c r="A148" s="7">
        <v>43255.0</v>
      </c>
      <c r="B148" s="10" t="s">
        <v>374</v>
      </c>
      <c r="C148" s="212" t="s">
        <v>375</v>
      </c>
      <c r="D148" s="10" t="s">
        <v>369</v>
      </c>
      <c r="E148" s="32">
        <v>2338.0</v>
      </c>
      <c r="F148" s="145">
        <v>3.882</v>
      </c>
      <c r="G148" s="191">
        <v>-9076.29</v>
      </c>
      <c r="H148" s="10" t="s">
        <v>523</v>
      </c>
      <c r="I148" s="193">
        <f t="shared" si="1"/>
        <v>277.966703</v>
      </c>
      <c r="J148" s="193" t="str">
        <f t="shared" si="2"/>
        <v>iShares USD Treasury Bond 20+yr UCITS ETF</v>
      </c>
      <c r="K148" s="126">
        <f t="shared" si="3"/>
        <v>72242</v>
      </c>
      <c r="L148" s="126">
        <f t="shared" si="4"/>
        <v>-269859.85</v>
      </c>
      <c r="M148" s="195" t="str">
        <f>IF(AND($N148&lt;&gt;"",$O148&lt;&gt;0),MAXIFS(Investment!$L:$L,Investment!$D:$D,$N148),"")</f>
        <v/>
      </c>
      <c r="N148" s="187"/>
      <c r="O148" s="126"/>
      <c r="P148" s="207"/>
    </row>
    <row r="149">
      <c r="A149" s="7">
        <v>43255.0</v>
      </c>
      <c r="B149" s="10" t="s">
        <v>367</v>
      </c>
      <c r="C149" s="212" t="s">
        <v>368</v>
      </c>
      <c r="D149" s="10" t="s">
        <v>369</v>
      </c>
      <c r="E149" s="10">
        <v>479.0</v>
      </c>
      <c r="F149" s="145">
        <v>7.801</v>
      </c>
      <c r="G149" s="191">
        <v>-3736.68</v>
      </c>
      <c r="H149" s="10" t="s">
        <v>524</v>
      </c>
      <c r="I149" s="193">
        <f t="shared" si="1"/>
        <v>-401.882</v>
      </c>
      <c r="J149" s="193" t="str">
        <f t="shared" si="2"/>
        <v>ETFS All Commodities</v>
      </c>
      <c r="K149" s="126">
        <f t="shared" si="3"/>
        <v>8201</v>
      </c>
      <c r="L149" s="126">
        <f t="shared" si="4"/>
        <v>-60467.84</v>
      </c>
      <c r="M149" s="195" t="str">
        <f>IF(AND($N149&lt;&gt;"",$O149&lt;&gt;0),MAXIFS(Investment!$L:$L,Investment!$D:$D,$N149),"")</f>
        <v/>
      </c>
      <c r="N149" s="187"/>
      <c r="O149" s="126"/>
      <c r="P149" s="207"/>
    </row>
    <row r="150">
      <c r="A150" s="7">
        <v>43255.0</v>
      </c>
      <c r="B150" s="10" t="s">
        <v>379</v>
      </c>
      <c r="C150" s="212" t="s">
        <v>380</v>
      </c>
      <c r="D150" s="10" t="s">
        <v>369</v>
      </c>
      <c r="E150" s="10">
        <v>23.0</v>
      </c>
      <c r="F150" s="145">
        <v>159.87</v>
      </c>
      <c r="G150" s="191">
        <v>-3677.01</v>
      </c>
      <c r="H150" s="10" t="s">
        <v>525</v>
      </c>
      <c r="I150" s="193">
        <f t="shared" si="1"/>
        <v>199.18</v>
      </c>
      <c r="J150" s="193" t="str">
        <f t="shared" si="2"/>
        <v>iShares USD Treasury Bond 7-10yr UCITS ETF USD Dist</v>
      </c>
      <c r="K150" s="126">
        <f t="shared" si="3"/>
        <v>639</v>
      </c>
      <c r="L150" s="126">
        <f t="shared" si="4"/>
        <v>-100085.66</v>
      </c>
      <c r="M150" s="195" t="str">
        <f>IF(AND($N150&lt;&gt;"",$O150&lt;&gt;0),MAXIFS(Investment!$L:$L,Investment!$D:$D,$N150),"")</f>
        <v/>
      </c>
      <c r="N150" s="187"/>
      <c r="O150" s="126"/>
      <c r="P150" s="207"/>
    </row>
    <row r="151">
      <c r="A151" s="7">
        <v>43255.0</v>
      </c>
      <c r="B151" s="10" t="s">
        <v>371</v>
      </c>
      <c r="C151" s="212" t="s">
        <v>372</v>
      </c>
      <c r="D151" s="10" t="s">
        <v>369</v>
      </c>
      <c r="E151" s="10">
        <v>93.0</v>
      </c>
      <c r="F151" s="145">
        <v>44.55</v>
      </c>
      <c r="G151" s="191">
        <v>-4143.15</v>
      </c>
      <c r="H151" s="10" t="s">
        <v>526</v>
      </c>
      <c r="I151" s="193">
        <f t="shared" si="1"/>
        <v>-251.286</v>
      </c>
      <c r="J151" s="193" t="str">
        <f t="shared" si="2"/>
        <v>Vanguard S&amp;P 500 UCITS ETF</v>
      </c>
      <c r="K151" s="126">
        <f t="shared" si="3"/>
        <v>5439</v>
      </c>
      <c r="L151" s="126">
        <f t="shared" si="4"/>
        <v>-238297.57</v>
      </c>
      <c r="M151" s="195" t="str">
        <f>IF(AND($N151&lt;&gt;"",$O151&lt;&gt;0),MAXIFS(Investment!$L:$L,Investment!$D:$D,$N151),"")</f>
        <v/>
      </c>
      <c r="N151" s="187"/>
      <c r="O151" s="126"/>
      <c r="P151" s="207"/>
    </row>
    <row r="152">
      <c r="A152" s="7">
        <v>43255.0</v>
      </c>
      <c r="B152" s="10" t="s">
        <v>374</v>
      </c>
      <c r="C152" s="212" t="s">
        <v>375</v>
      </c>
      <c r="D152" s="10" t="s">
        <v>362</v>
      </c>
      <c r="F152" s="145"/>
      <c r="G152" s="191">
        <v>-2.96</v>
      </c>
      <c r="H152" s="10" t="s">
        <v>527</v>
      </c>
      <c r="I152" s="193" t="str">
        <f t="shared" si="1"/>
        <v/>
      </c>
      <c r="J152" s="193" t="str">
        <f t="shared" si="2"/>
        <v>iShares USD Treasury Bond 20+yr UCITS ETF</v>
      </c>
      <c r="K152" s="126">
        <f t="shared" si="3"/>
        <v>72242</v>
      </c>
      <c r="L152" s="126">
        <f t="shared" si="4"/>
        <v>-269859.85</v>
      </c>
      <c r="M152" s="195" t="str">
        <f>IF(AND($N152&lt;&gt;"",$O152&lt;&gt;0),MAXIFS(Investment!$L:$L,Investment!$D:$D,$N152),"")</f>
        <v/>
      </c>
      <c r="N152" s="187"/>
      <c r="O152" s="126"/>
      <c r="P152" s="207"/>
    </row>
    <row r="153">
      <c r="A153" s="7">
        <v>43255.0</v>
      </c>
      <c r="B153" s="10" t="s">
        <v>374</v>
      </c>
      <c r="C153" s="212" t="s">
        <v>375</v>
      </c>
      <c r="D153" s="10" t="s">
        <v>369</v>
      </c>
      <c r="E153" s="32">
        <v>1235.0</v>
      </c>
      <c r="F153" s="145">
        <v>3.881</v>
      </c>
      <c r="G153" s="191">
        <v>-4793.1</v>
      </c>
      <c r="H153" s="10" t="s">
        <v>528</v>
      </c>
      <c r="I153" s="193">
        <f t="shared" si="1"/>
        <v>148.0920566</v>
      </c>
      <c r="J153" s="193" t="str">
        <f t="shared" si="2"/>
        <v>iShares USD Treasury Bond 20+yr UCITS ETF</v>
      </c>
      <c r="K153" s="126">
        <f t="shared" si="3"/>
        <v>72242</v>
      </c>
      <c r="L153" s="126">
        <f t="shared" si="4"/>
        <v>-269859.85</v>
      </c>
      <c r="M153" s="195" t="str">
        <f>IF(AND($N153&lt;&gt;"",$O153&lt;&gt;0),MAXIFS(Investment!$L:$L,Investment!$D:$D,$N153),"")</f>
        <v/>
      </c>
      <c r="N153" s="187"/>
      <c r="O153" s="126"/>
      <c r="P153" s="207"/>
    </row>
    <row r="154">
      <c r="A154" s="7">
        <v>43255.0</v>
      </c>
      <c r="B154" s="10" t="s">
        <v>371</v>
      </c>
      <c r="C154" s="212" t="s">
        <v>372</v>
      </c>
      <c r="D154" s="10" t="s">
        <v>369</v>
      </c>
      <c r="E154" s="10">
        <v>88.0</v>
      </c>
      <c r="F154" s="145">
        <v>44.539</v>
      </c>
      <c r="G154" s="191">
        <v>-3919.43</v>
      </c>
      <c r="H154" s="10" t="s">
        <v>529</v>
      </c>
      <c r="I154" s="193">
        <f t="shared" si="1"/>
        <v>-236.806</v>
      </c>
      <c r="J154" s="193" t="str">
        <f t="shared" si="2"/>
        <v>Vanguard S&amp;P 500 UCITS ETF</v>
      </c>
      <c r="K154" s="126">
        <f t="shared" si="3"/>
        <v>5439</v>
      </c>
      <c r="L154" s="126">
        <f t="shared" si="4"/>
        <v>-238297.57</v>
      </c>
      <c r="M154" s="195" t="str">
        <f>IF(AND($N154&lt;&gt;"",$O154&lt;&gt;0),MAXIFS(Investment!$L:$L,Investment!$D:$D,$N154),"")</f>
        <v/>
      </c>
      <c r="N154" s="187"/>
      <c r="O154" s="126"/>
      <c r="P154" s="207"/>
    </row>
    <row r="155">
      <c r="A155" s="7">
        <v>43255.0</v>
      </c>
      <c r="B155" s="10" t="s">
        <v>379</v>
      </c>
      <c r="C155" s="212" t="s">
        <v>380</v>
      </c>
      <c r="D155" s="10" t="s">
        <v>369</v>
      </c>
      <c r="E155" s="10">
        <v>13.0</v>
      </c>
      <c r="F155" s="145">
        <v>159.82</v>
      </c>
      <c r="G155" s="191">
        <v>-2077.66</v>
      </c>
      <c r="H155" s="10" t="s">
        <v>530</v>
      </c>
      <c r="I155" s="193">
        <f t="shared" si="1"/>
        <v>113.23</v>
      </c>
      <c r="J155" s="193" t="str">
        <f t="shared" si="2"/>
        <v>iShares USD Treasury Bond 7-10yr UCITS ETF USD Dist</v>
      </c>
      <c r="K155" s="126">
        <f t="shared" si="3"/>
        <v>639</v>
      </c>
      <c r="L155" s="126">
        <f t="shared" si="4"/>
        <v>-100085.66</v>
      </c>
      <c r="M155" s="195" t="str">
        <f>IF(AND($N155&lt;&gt;"",$O155&lt;&gt;0),MAXIFS(Investment!$L:$L,Investment!$D:$D,$N155),"")</f>
        <v/>
      </c>
      <c r="N155" s="187"/>
      <c r="O155" s="126"/>
      <c r="P155" s="207"/>
    </row>
    <row r="156">
      <c r="A156" s="7">
        <v>43255.0</v>
      </c>
      <c r="B156" s="10" t="s">
        <v>385</v>
      </c>
      <c r="C156" s="212" t="s">
        <v>386</v>
      </c>
      <c r="D156" s="10" t="s">
        <v>369</v>
      </c>
      <c r="E156" s="10">
        <v>11.0</v>
      </c>
      <c r="F156" s="145">
        <v>105.72</v>
      </c>
      <c r="G156" s="191">
        <v>-1162.92</v>
      </c>
      <c r="H156" s="211" t="s">
        <v>531</v>
      </c>
      <c r="I156" s="193">
        <f t="shared" si="1"/>
        <v>19.47</v>
      </c>
      <c r="J156" s="193" t="str">
        <f t="shared" si="2"/>
        <v>ETFS Physical Gold</v>
      </c>
      <c r="K156" s="126">
        <f t="shared" si="3"/>
        <v>506</v>
      </c>
      <c r="L156" s="126">
        <f t="shared" si="4"/>
        <v>-52182.08</v>
      </c>
      <c r="M156" s="195" t="str">
        <f>IF(AND($N156&lt;&gt;"",$O156&lt;&gt;0),MAXIFS(Investment!$L:$L,Investment!$D:$D,$N156),"")</f>
        <v/>
      </c>
      <c r="N156" s="187"/>
      <c r="O156" s="126"/>
      <c r="P156" s="207"/>
    </row>
    <row r="157">
      <c r="A157" s="7">
        <v>43252.0</v>
      </c>
      <c r="B157" s="197" t="s">
        <v>379</v>
      </c>
      <c r="C157" s="192" t="s">
        <v>380</v>
      </c>
      <c r="D157" s="198" t="s">
        <v>376</v>
      </c>
      <c r="E157" s="198"/>
      <c r="F157" s="145"/>
      <c r="G157" s="199">
        <v>471.2</v>
      </c>
      <c r="H157" s="213" t="s">
        <v>532</v>
      </c>
      <c r="I157" s="193" t="str">
        <f t="shared" si="1"/>
        <v/>
      </c>
      <c r="J157" s="193" t="str">
        <f t="shared" si="2"/>
        <v>iShares USD Treasury Bond 7-10yr UCITS ETF USD Dist</v>
      </c>
      <c r="K157" s="126">
        <f t="shared" si="3"/>
        <v>639</v>
      </c>
      <c r="L157" s="126">
        <f t="shared" si="4"/>
        <v>-100085.66</v>
      </c>
      <c r="M157" s="195" t="str">
        <f>IF(AND($N157&lt;&gt;"",$O157&lt;&gt;0),MAXIFS(Investment!$L:$L,Investment!$D:$D,$N157),"")</f>
        <v/>
      </c>
      <c r="N157" s="187"/>
      <c r="O157" s="126"/>
      <c r="P157" s="207"/>
    </row>
    <row r="158">
      <c r="A158" s="7">
        <v>43252.0</v>
      </c>
      <c r="B158" s="197" t="s">
        <v>379</v>
      </c>
      <c r="C158" s="192" t="s">
        <v>380</v>
      </c>
      <c r="D158" s="198" t="s">
        <v>376</v>
      </c>
      <c r="E158" s="198"/>
      <c r="F158" s="145"/>
      <c r="G158" s="199">
        <v>-68.59</v>
      </c>
      <c r="H158" s="213" t="s">
        <v>533</v>
      </c>
      <c r="I158" s="193" t="str">
        <f t="shared" si="1"/>
        <v/>
      </c>
      <c r="J158" s="193" t="str">
        <f t="shared" si="2"/>
        <v>iShares USD Treasury Bond 7-10yr UCITS ETF USD Dist</v>
      </c>
      <c r="K158" s="126">
        <f t="shared" si="3"/>
        <v>639</v>
      </c>
      <c r="L158" s="126">
        <f t="shared" si="4"/>
        <v>-100085.66</v>
      </c>
      <c r="M158" s="195" t="str">
        <f>IF(AND($N158&lt;&gt;"",$O158&lt;&gt;0),MAXIFS(Investment!$L:$L,Investment!$D:$D,$N158),"")</f>
        <v/>
      </c>
      <c r="N158" s="187"/>
      <c r="O158" s="126"/>
      <c r="P158" s="207"/>
    </row>
    <row r="159">
      <c r="A159" s="7">
        <v>43226.0</v>
      </c>
      <c r="B159" s="197" t="s">
        <v>379</v>
      </c>
      <c r="C159" s="192" t="s">
        <v>534</v>
      </c>
      <c r="D159" s="198" t="s">
        <v>376</v>
      </c>
      <c r="E159" s="198"/>
      <c r="F159" s="145"/>
      <c r="G159" s="199">
        <v>-7.01</v>
      </c>
      <c r="H159" s="213" t="s">
        <v>535</v>
      </c>
      <c r="I159" s="193" t="str">
        <f t="shared" si="1"/>
        <v/>
      </c>
      <c r="J159" s="193" t="str">
        <f t="shared" si="2"/>
        <v>Vanguard Intermediate-Term Treasury ETF</v>
      </c>
      <c r="K159" s="126">
        <f t="shared" si="3"/>
        <v>0</v>
      </c>
      <c r="L159" s="126">
        <f t="shared" si="4"/>
        <v>-1817.48</v>
      </c>
      <c r="M159" s="195" t="str">
        <f>IF(AND($N159&lt;&gt;"",$O159&lt;&gt;0),MAXIFS(Investment!$L:$L,Investment!$D:$D,$N159),"")</f>
        <v/>
      </c>
      <c r="N159" s="193"/>
      <c r="O159" s="126"/>
      <c r="P159" s="207"/>
    </row>
    <row r="160">
      <c r="A160" s="7">
        <v>43226.0</v>
      </c>
      <c r="B160" s="197" t="s">
        <v>379</v>
      </c>
      <c r="C160" s="192" t="s">
        <v>534</v>
      </c>
      <c r="D160" s="198" t="s">
        <v>376</v>
      </c>
      <c r="E160" s="198"/>
      <c r="F160" s="145"/>
      <c r="G160" s="199">
        <v>42.49</v>
      </c>
      <c r="H160" s="213" t="s">
        <v>536</v>
      </c>
      <c r="I160" s="193" t="str">
        <f t="shared" si="1"/>
        <v/>
      </c>
      <c r="J160" s="193" t="str">
        <f t="shared" si="2"/>
        <v>Vanguard Intermediate-Term Treasury ETF</v>
      </c>
      <c r="K160" s="126">
        <f t="shared" si="3"/>
        <v>0</v>
      </c>
      <c r="L160" s="126">
        <f t="shared" si="4"/>
        <v>-1817.48</v>
      </c>
      <c r="M160" s="195" t="str">
        <f>IF(AND($N160&lt;&gt;"",$O160&lt;&gt;0),MAXIFS(Investment!$L:$L,Investment!$D:$D,$N160),"")</f>
        <v/>
      </c>
      <c r="N160" s="193"/>
      <c r="O160" s="126"/>
      <c r="P160" s="207"/>
    </row>
    <row r="161">
      <c r="A161" s="7">
        <v>43224.0</v>
      </c>
      <c r="B161" s="197" t="s">
        <v>374</v>
      </c>
      <c r="C161" s="192" t="s">
        <v>375</v>
      </c>
      <c r="D161" s="198" t="s">
        <v>362</v>
      </c>
      <c r="E161" s="198"/>
      <c r="F161" s="145"/>
      <c r="G161" s="199">
        <v>-5.42</v>
      </c>
      <c r="H161" s="213" t="s">
        <v>537</v>
      </c>
      <c r="I161" s="193" t="str">
        <f t="shared" si="1"/>
        <v/>
      </c>
      <c r="J161" s="193" t="str">
        <f t="shared" si="2"/>
        <v>iShares USD Treasury Bond 20+yr UCITS ETF</v>
      </c>
      <c r="K161" s="126">
        <f t="shared" si="3"/>
        <v>72242</v>
      </c>
      <c r="L161" s="126">
        <f t="shared" si="4"/>
        <v>-269859.85</v>
      </c>
      <c r="M161" s="195" t="str">
        <f>IF(AND($N161&lt;&gt;"",$O161&lt;&gt;0),MAXIFS(Investment!$L:$L,Investment!$D:$D,$N161),"")</f>
        <v/>
      </c>
      <c r="N161" s="193"/>
      <c r="O161" s="126"/>
      <c r="P161" s="207"/>
    </row>
    <row r="162">
      <c r="A162" s="7">
        <v>43224.0</v>
      </c>
      <c r="B162" s="197" t="s">
        <v>374</v>
      </c>
      <c r="C162" s="192" t="s">
        <v>375</v>
      </c>
      <c r="D162" s="198" t="s">
        <v>369</v>
      </c>
      <c r="E162" s="198">
        <v>4546.0</v>
      </c>
      <c r="F162" s="145">
        <v>3.767</v>
      </c>
      <c r="G162" s="199">
        <v>-17125.03</v>
      </c>
      <c r="H162" s="213" t="s">
        <v>538</v>
      </c>
      <c r="I162" s="193">
        <f t="shared" si="1"/>
        <v>1063.357926</v>
      </c>
      <c r="J162" s="193" t="str">
        <f t="shared" si="2"/>
        <v>iShares USD Treasury Bond 20+yr UCITS ETF</v>
      </c>
      <c r="K162" s="126">
        <f t="shared" si="3"/>
        <v>72242</v>
      </c>
      <c r="L162" s="126">
        <f t="shared" si="4"/>
        <v>-269859.85</v>
      </c>
      <c r="M162" s="195" t="str">
        <f>IF(AND($N162&lt;&gt;"",$O162&lt;&gt;0),MAXIFS(Investment!$L:$L,Investment!$D:$D,$N162),"")</f>
        <v/>
      </c>
      <c r="N162" s="193"/>
      <c r="O162" s="126"/>
      <c r="P162" s="207"/>
    </row>
    <row r="163">
      <c r="A163" s="7">
        <v>43224.0</v>
      </c>
      <c r="B163" s="197" t="s">
        <v>379</v>
      </c>
      <c r="C163" s="192" t="s">
        <v>380</v>
      </c>
      <c r="D163" s="198" t="s">
        <v>369</v>
      </c>
      <c r="E163" s="198">
        <v>19.0</v>
      </c>
      <c r="F163" s="145">
        <v>158.01</v>
      </c>
      <c r="G163" s="199">
        <v>-3002.19</v>
      </c>
      <c r="H163" s="213" t="s">
        <v>539</v>
      </c>
      <c r="I163" s="193">
        <f t="shared" si="1"/>
        <v>199.88</v>
      </c>
      <c r="J163" s="193" t="str">
        <f t="shared" si="2"/>
        <v>iShares USD Treasury Bond 7-10yr UCITS ETF USD Dist</v>
      </c>
      <c r="K163" s="126">
        <f t="shared" si="3"/>
        <v>639</v>
      </c>
      <c r="L163" s="126">
        <f t="shared" si="4"/>
        <v>-100085.66</v>
      </c>
      <c r="M163" s="195" t="str">
        <f>IF(AND($N163&lt;&gt;"",$O163&lt;&gt;0),MAXIFS(Investment!$L:$L,Investment!$D:$D,$N163),"")</f>
        <v/>
      </c>
      <c r="N163" s="193"/>
      <c r="O163" s="126"/>
      <c r="P163" s="207"/>
    </row>
    <row r="164">
      <c r="A164" s="7">
        <v>43224.0</v>
      </c>
      <c r="B164" s="197"/>
      <c r="C164" s="192"/>
      <c r="D164" s="198" t="s">
        <v>362</v>
      </c>
      <c r="E164" s="198"/>
      <c r="F164" s="145"/>
      <c r="G164" s="199">
        <v>-140.97</v>
      </c>
      <c r="H164" s="213" t="s">
        <v>540</v>
      </c>
      <c r="I164" s="193" t="str">
        <f t="shared" si="1"/>
        <v/>
      </c>
      <c r="J164" s="193" t="str">
        <f t="shared" si="2"/>
        <v/>
      </c>
      <c r="K164" s="126" t="str">
        <f t="shared" si="3"/>
        <v/>
      </c>
      <c r="L164" s="126" t="str">
        <f t="shared" si="4"/>
        <v/>
      </c>
      <c r="M164" s="195" t="str">
        <f>IF(AND($N164&lt;&gt;"",$O164&lt;&gt;0),MAXIFS(Investment!$L:$L,Investment!$D:$D,$N164),"")</f>
        <v/>
      </c>
      <c r="N164" s="193"/>
      <c r="O164" s="126"/>
      <c r="P164" s="207"/>
    </row>
    <row r="165">
      <c r="A165" s="7">
        <v>43224.0</v>
      </c>
      <c r="B165" s="197" t="s">
        <v>374</v>
      </c>
      <c r="C165" s="192" t="s">
        <v>472</v>
      </c>
      <c r="D165" s="198" t="s">
        <v>381</v>
      </c>
      <c r="E165" s="198">
        <v>-707.0</v>
      </c>
      <c r="F165" s="145">
        <v>93.145</v>
      </c>
      <c r="G165" s="199">
        <v>65853.53</v>
      </c>
      <c r="H165" s="213" t="s">
        <v>541</v>
      </c>
      <c r="I165" s="193">
        <f t="shared" si="1"/>
        <v>65853.53</v>
      </c>
      <c r="J165" s="193" t="str">
        <f t="shared" si="2"/>
        <v>Vanguard Extended Duration Treasury ETF</v>
      </c>
      <c r="K165" s="126">
        <f t="shared" si="3"/>
        <v>0</v>
      </c>
      <c r="L165" s="126">
        <f t="shared" si="4"/>
        <v>-4941.36</v>
      </c>
      <c r="M165" s="195" t="str">
        <f>IF(AND($N165&lt;&gt;"",$O165&lt;&gt;0),MAXIFS(Investment!$L:$L,Investment!$D:$D,$N165),"")</f>
        <v/>
      </c>
      <c r="N165" s="193"/>
      <c r="O165" s="126"/>
      <c r="P165" s="207"/>
    </row>
    <row r="166">
      <c r="A166" s="7">
        <v>43224.0</v>
      </c>
      <c r="B166" s="197" t="s">
        <v>374</v>
      </c>
      <c r="C166" s="192" t="s">
        <v>375</v>
      </c>
      <c r="D166" s="198" t="s">
        <v>362</v>
      </c>
      <c r="E166" s="198"/>
      <c r="F166" s="145"/>
      <c r="G166" s="199">
        <v>-17.04</v>
      </c>
      <c r="H166" s="213" t="s">
        <v>542</v>
      </c>
      <c r="I166" s="193" t="str">
        <f t="shared" si="1"/>
        <v/>
      </c>
      <c r="J166" s="193" t="str">
        <f t="shared" si="2"/>
        <v>iShares USD Treasury Bond 20+yr UCITS ETF</v>
      </c>
      <c r="K166" s="126">
        <f t="shared" si="3"/>
        <v>72242</v>
      </c>
      <c r="L166" s="126">
        <f t="shared" si="4"/>
        <v>-269859.85</v>
      </c>
      <c r="M166" s="195" t="str">
        <f>IF(AND($N166&lt;&gt;"",$O166&lt;&gt;0),MAXIFS(Investment!$L:$L,Investment!$D:$D,$N166),"")</f>
        <v/>
      </c>
      <c r="N166" s="193"/>
      <c r="O166" s="126"/>
      <c r="P166" s="207"/>
    </row>
    <row r="167">
      <c r="A167" s="7">
        <v>43224.0</v>
      </c>
      <c r="B167" s="197" t="s">
        <v>374</v>
      </c>
      <c r="C167" s="192" t="s">
        <v>375</v>
      </c>
      <c r="D167" s="198" t="s">
        <v>369</v>
      </c>
      <c r="E167" s="198">
        <v>20019.0</v>
      </c>
      <c r="F167" s="145">
        <v>3.758</v>
      </c>
      <c r="G167" s="199">
        <v>-75232.62</v>
      </c>
      <c r="H167" s="213" t="s">
        <v>543</v>
      </c>
      <c r="I167" s="193">
        <f t="shared" si="1"/>
        <v>4862.702899</v>
      </c>
      <c r="J167" s="193" t="str">
        <f t="shared" si="2"/>
        <v>iShares USD Treasury Bond 20+yr UCITS ETF</v>
      </c>
      <c r="K167" s="126">
        <f t="shared" si="3"/>
        <v>72242</v>
      </c>
      <c r="L167" s="126">
        <f t="shared" si="4"/>
        <v>-269859.85</v>
      </c>
      <c r="M167" s="195" t="str">
        <f>IF(AND($N167&lt;&gt;"",$O167&lt;&gt;0),MAXIFS(Investment!$L:$L,Investment!$D:$D,$N167),"")</f>
        <v/>
      </c>
      <c r="N167" s="193"/>
      <c r="O167" s="126"/>
      <c r="P167" s="207"/>
    </row>
    <row r="168">
      <c r="A168" s="7">
        <v>43224.0</v>
      </c>
      <c r="B168" s="197" t="s">
        <v>371</v>
      </c>
      <c r="C168" s="192" t="s">
        <v>372</v>
      </c>
      <c r="D168" s="198" t="s">
        <v>369</v>
      </c>
      <c r="E168" s="198">
        <v>85.0</v>
      </c>
      <c r="F168" s="145">
        <v>42.11</v>
      </c>
      <c r="G168" s="199">
        <v>-3579.35</v>
      </c>
      <c r="H168" s="213" t="s">
        <v>544</v>
      </c>
      <c r="I168" s="193">
        <f t="shared" si="1"/>
        <v>-22.27</v>
      </c>
      <c r="J168" s="193" t="str">
        <f t="shared" si="2"/>
        <v>Vanguard S&amp;P 500 UCITS ETF</v>
      </c>
      <c r="K168" s="126">
        <f t="shared" si="3"/>
        <v>5439</v>
      </c>
      <c r="L168" s="126">
        <f t="shared" si="4"/>
        <v>-238297.57</v>
      </c>
      <c r="M168" s="195" t="str">
        <f>IF(AND($N168&lt;&gt;"",$O168&lt;&gt;0),MAXIFS(Investment!$L:$L,Investment!$D:$D,$N168),"")</f>
        <v/>
      </c>
      <c r="N168" s="193"/>
      <c r="O168" s="126"/>
      <c r="P168" s="207"/>
    </row>
    <row r="169">
      <c r="A169" s="7">
        <v>43224.0</v>
      </c>
      <c r="B169" s="197" t="s">
        <v>379</v>
      </c>
      <c r="C169" s="192" t="s">
        <v>380</v>
      </c>
      <c r="D169" s="198" t="s">
        <v>369</v>
      </c>
      <c r="E169" s="198">
        <v>16.0</v>
      </c>
      <c r="F169" s="145">
        <v>158.17</v>
      </c>
      <c r="G169" s="199">
        <v>-2530.72</v>
      </c>
      <c r="H169" s="213" t="s">
        <v>545</v>
      </c>
      <c r="I169" s="193">
        <f t="shared" si="1"/>
        <v>165.76</v>
      </c>
      <c r="J169" s="193" t="str">
        <f t="shared" si="2"/>
        <v>iShares USD Treasury Bond 7-10yr UCITS ETF USD Dist</v>
      </c>
      <c r="K169" s="126">
        <f t="shared" si="3"/>
        <v>639</v>
      </c>
      <c r="L169" s="126">
        <f t="shared" si="4"/>
        <v>-100085.66</v>
      </c>
      <c r="M169" s="195" t="str">
        <f>IF(AND($N169&lt;&gt;"",$O169&lt;&gt;0),MAXIFS(Investment!$L:$L,Investment!$D:$D,$N169),"")</f>
        <v/>
      </c>
      <c r="N169" s="193"/>
      <c r="O169" s="126"/>
      <c r="P169" s="207"/>
    </row>
    <row r="170">
      <c r="A170" s="7">
        <v>43224.0</v>
      </c>
      <c r="B170" s="197" t="s">
        <v>385</v>
      </c>
      <c r="C170" s="192" t="s">
        <v>386</v>
      </c>
      <c r="D170" s="198" t="s">
        <v>369</v>
      </c>
      <c r="E170" s="198">
        <v>39.0</v>
      </c>
      <c r="F170" s="145">
        <v>105.24</v>
      </c>
      <c r="G170" s="199">
        <v>-4104.36</v>
      </c>
      <c r="H170" s="213" t="s">
        <v>546</v>
      </c>
      <c r="I170" s="193">
        <f t="shared" si="1"/>
        <v>87.75</v>
      </c>
      <c r="J170" s="193" t="str">
        <f t="shared" si="2"/>
        <v>ETFS Physical Gold</v>
      </c>
      <c r="K170" s="126">
        <f t="shared" si="3"/>
        <v>506</v>
      </c>
      <c r="L170" s="126">
        <f t="shared" si="4"/>
        <v>-52182.08</v>
      </c>
      <c r="M170" s="195" t="str">
        <f>IF(AND($N170&lt;&gt;"",$O170&lt;&gt;0),MAXIFS(Investment!$L:$L,Investment!$D:$D,$N170),"")</f>
        <v/>
      </c>
      <c r="N170" s="193"/>
      <c r="O170" s="126"/>
      <c r="P170" s="207"/>
    </row>
    <row r="171">
      <c r="A171" s="7">
        <v>43223.0</v>
      </c>
      <c r="B171" s="197" t="s">
        <v>385</v>
      </c>
      <c r="C171" s="192" t="s">
        <v>547</v>
      </c>
      <c r="D171" s="198" t="s">
        <v>381</v>
      </c>
      <c r="E171" s="198">
        <v>-1319.0</v>
      </c>
      <c r="F171" s="145">
        <v>10.527</v>
      </c>
      <c r="G171" s="199">
        <v>13885.34</v>
      </c>
      <c r="H171" s="213" t="s">
        <v>548</v>
      </c>
      <c r="I171" s="193">
        <f t="shared" si="1"/>
        <v>13885.34</v>
      </c>
      <c r="J171" s="193" t="str">
        <f t="shared" si="2"/>
        <v>iShares Gold Trust</v>
      </c>
      <c r="K171" s="126">
        <f t="shared" si="3"/>
        <v>0</v>
      </c>
      <c r="L171" s="126">
        <f t="shared" si="4"/>
        <v>140.23</v>
      </c>
      <c r="M171" s="195" t="str">
        <f>IF(AND($N171&lt;&gt;"",$O171&lt;&gt;0),MAXIFS(Investment!$L:$L,Investment!$D:$D,$N171),"")</f>
        <v/>
      </c>
      <c r="N171" s="193"/>
      <c r="O171" s="126"/>
      <c r="P171" s="207"/>
    </row>
    <row r="172">
      <c r="A172" s="7">
        <v>43223.0</v>
      </c>
      <c r="B172" s="197" t="s">
        <v>385</v>
      </c>
      <c r="C172" s="192" t="s">
        <v>386</v>
      </c>
      <c r="D172" s="198" t="s">
        <v>369</v>
      </c>
      <c r="E172" s="198">
        <v>144.0</v>
      </c>
      <c r="F172" s="145">
        <v>105.161</v>
      </c>
      <c r="G172" s="199">
        <v>-15143.25</v>
      </c>
      <c r="H172" s="213" t="s">
        <v>549</v>
      </c>
      <c r="I172" s="193">
        <f t="shared" si="1"/>
        <v>335.31</v>
      </c>
      <c r="J172" s="193" t="str">
        <f t="shared" si="2"/>
        <v>ETFS Physical Gold</v>
      </c>
      <c r="K172" s="126">
        <f t="shared" si="3"/>
        <v>506</v>
      </c>
      <c r="L172" s="126">
        <f t="shared" si="4"/>
        <v>-52182.08</v>
      </c>
      <c r="M172" s="195" t="str">
        <f>IF(AND($N172&lt;&gt;"",$O172&lt;&gt;0),MAXIFS(Investment!$L:$L,Investment!$D:$D,$N172),"")</f>
        <v/>
      </c>
      <c r="N172" s="193"/>
      <c r="O172" s="126"/>
      <c r="P172" s="207"/>
    </row>
    <row r="173">
      <c r="A173" s="7">
        <v>43223.0</v>
      </c>
      <c r="B173" s="197" t="s">
        <v>367</v>
      </c>
      <c r="C173" s="192" t="s">
        <v>368</v>
      </c>
      <c r="D173" s="198" t="s">
        <v>381</v>
      </c>
      <c r="E173" s="198">
        <v>-180.0</v>
      </c>
      <c r="F173" s="145">
        <v>7.566</v>
      </c>
      <c r="G173" s="214">
        <v>1361.88</v>
      </c>
      <c r="H173" s="213" t="s">
        <v>550</v>
      </c>
      <c r="I173" s="193">
        <f t="shared" si="1"/>
        <v>108.72</v>
      </c>
      <c r="J173" s="193" t="str">
        <f t="shared" si="2"/>
        <v>ETFS All Commodities</v>
      </c>
      <c r="K173" s="126">
        <f t="shared" si="3"/>
        <v>8201</v>
      </c>
      <c r="L173" s="126">
        <f t="shared" si="4"/>
        <v>-60467.84</v>
      </c>
      <c r="M173" s="195" t="str">
        <f>IF(AND($N173&lt;&gt;"",$O173&lt;&gt;0),MAXIFS(Investment!$L:$L,Investment!$D:$D,$N173),"")</f>
        <v/>
      </c>
      <c r="N173" s="193"/>
      <c r="O173" s="126"/>
      <c r="P173" s="207"/>
    </row>
    <row r="174">
      <c r="A174" s="7">
        <v>43223.0</v>
      </c>
      <c r="B174" s="197" t="s">
        <v>379</v>
      </c>
      <c r="C174" s="192" t="s">
        <v>534</v>
      </c>
      <c r="D174" s="198" t="s">
        <v>362</v>
      </c>
      <c r="E174" s="198"/>
      <c r="F174" s="145"/>
      <c r="G174" s="214">
        <v>-7.14</v>
      </c>
      <c r="H174" s="213" t="s">
        <v>551</v>
      </c>
      <c r="I174" s="193" t="str">
        <f t="shared" si="1"/>
        <v/>
      </c>
      <c r="J174" s="193" t="str">
        <f t="shared" si="2"/>
        <v>Vanguard Intermediate-Term Treasury ETF</v>
      </c>
      <c r="K174" s="126">
        <f t="shared" si="3"/>
        <v>0</v>
      </c>
      <c r="L174" s="126">
        <f t="shared" si="4"/>
        <v>-1817.48</v>
      </c>
      <c r="M174" s="195" t="str">
        <f>IF(AND($N174&lt;&gt;"",$O174&lt;&gt;0),MAXIFS(Investment!$L:$L,Investment!$D:$D,$N174),"")</f>
        <v/>
      </c>
      <c r="N174" s="193"/>
      <c r="O174" s="126"/>
      <c r="P174" s="207"/>
    </row>
    <row r="175">
      <c r="A175" s="7">
        <v>43223.0</v>
      </c>
      <c r="B175" s="197" t="s">
        <v>379</v>
      </c>
      <c r="C175" s="192" t="s">
        <v>534</v>
      </c>
      <c r="D175" s="198" t="s">
        <v>381</v>
      </c>
      <c r="E175" s="198">
        <v>-493.0</v>
      </c>
      <c r="F175" s="145">
        <v>52.066</v>
      </c>
      <c r="G175" s="199">
        <v>25668.61</v>
      </c>
      <c r="H175" s="213" t="s">
        <v>552</v>
      </c>
      <c r="I175" s="193">
        <f t="shared" si="1"/>
        <v>25668.61</v>
      </c>
      <c r="J175" s="193" t="str">
        <f t="shared" si="2"/>
        <v>Vanguard Intermediate-Term Treasury ETF</v>
      </c>
      <c r="K175" s="126">
        <f t="shared" si="3"/>
        <v>0</v>
      </c>
      <c r="L175" s="126">
        <f t="shared" si="4"/>
        <v>-1817.48</v>
      </c>
      <c r="M175" s="195" t="str">
        <f>IF(AND($N175&lt;&gt;"",$O175&lt;&gt;0),MAXIFS(Investment!$L:$L,Investment!$D:$D,$N175),"")</f>
        <v/>
      </c>
      <c r="N175" s="193"/>
      <c r="O175" s="126"/>
      <c r="P175" s="207"/>
    </row>
    <row r="176">
      <c r="A176" s="7">
        <v>43223.0</v>
      </c>
      <c r="B176" s="197" t="s">
        <v>379</v>
      </c>
      <c r="C176" s="192" t="s">
        <v>380</v>
      </c>
      <c r="D176" s="198" t="s">
        <v>369</v>
      </c>
      <c r="E176" s="198">
        <v>185.0</v>
      </c>
      <c r="F176" s="145">
        <v>158.21</v>
      </c>
      <c r="G176" s="199">
        <v>-29268.85</v>
      </c>
      <c r="H176" s="213" t="s">
        <v>553</v>
      </c>
      <c r="I176" s="193">
        <f t="shared" si="1"/>
        <v>1909.2</v>
      </c>
      <c r="J176" s="193" t="str">
        <f t="shared" si="2"/>
        <v>iShares USD Treasury Bond 7-10yr UCITS ETF USD Dist</v>
      </c>
      <c r="K176" s="126">
        <f t="shared" si="3"/>
        <v>639</v>
      </c>
      <c r="L176" s="126">
        <f t="shared" si="4"/>
        <v>-100085.66</v>
      </c>
      <c r="M176" s="195" t="str">
        <f>IF(AND($N176&lt;&gt;"",$O176&lt;&gt;0),MAXIFS(Investment!$L:$L,Investment!$D:$D,$N176),"")</f>
        <v/>
      </c>
      <c r="N176" s="193"/>
      <c r="O176" s="126"/>
      <c r="P176" s="207"/>
    </row>
    <row r="177">
      <c r="A177" s="7">
        <v>43220.0</v>
      </c>
      <c r="B177" s="197" t="s">
        <v>367</v>
      </c>
      <c r="C177" s="192" t="s">
        <v>368</v>
      </c>
      <c r="D177" s="198" t="s">
        <v>381</v>
      </c>
      <c r="E177" s="198">
        <v>-1893.0</v>
      </c>
      <c r="F177" s="145">
        <v>7.451</v>
      </c>
      <c r="G177" s="199">
        <v>14104.74</v>
      </c>
      <c r="H177" s="213" t="s">
        <v>554</v>
      </c>
      <c r="I177" s="193">
        <f t="shared" si="1"/>
        <v>925.674</v>
      </c>
      <c r="J177" s="193" t="str">
        <f t="shared" si="2"/>
        <v>ETFS All Commodities</v>
      </c>
      <c r="K177" s="126">
        <f t="shared" si="3"/>
        <v>8201</v>
      </c>
      <c r="L177" s="126">
        <f t="shared" si="4"/>
        <v>-60467.84</v>
      </c>
      <c r="M177" s="195" t="str">
        <f>IF(AND($N177&lt;&gt;"",$O177&lt;&gt;0),MAXIFS(Investment!$L:$L,Investment!$D:$D,$N177),"")</f>
        <v/>
      </c>
      <c r="N177" s="193"/>
      <c r="O177" s="126"/>
      <c r="P177" s="207"/>
    </row>
    <row r="178">
      <c r="A178" s="7">
        <v>43220.0</v>
      </c>
      <c r="B178" s="197" t="s">
        <v>371</v>
      </c>
      <c r="C178" s="192" t="s">
        <v>372</v>
      </c>
      <c r="D178" s="198" t="s">
        <v>381</v>
      </c>
      <c r="E178" s="198">
        <v>-449.0</v>
      </c>
      <c r="F178" s="145">
        <v>41.972</v>
      </c>
      <c r="G178" s="199">
        <v>18845.44</v>
      </c>
      <c r="H178" s="213" t="s">
        <v>555</v>
      </c>
      <c r="I178" s="193">
        <f t="shared" si="1"/>
        <v>55.688</v>
      </c>
      <c r="J178" s="193" t="str">
        <f t="shared" si="2"/>
        <v>Vanguard S&amp;P 500 UCITS ETF</v>
      </c>
      <c r="K178" s="126">
        <f t="shared" si="3"/>
        <v>5439</v>
      </c>
      <c r="L178" s="126">
        <f t="shared" si="4"/>
        <v>-238297.57</v>
      </c>
      <c r="M178" s="195" t="str">
        <f>IF(AND($N178&lt;&gt;"",$O178&lt;&gt;0),MAXIFS(Investment!$L:$L,Investment!$D:$D,$N178),"")</f>
        <v/>
      </c>
      <c r="N178" s="193"/>
      <c r="O178" s="126"/>
      <c r="P178" s="207"/>
    </row>
    <row r="179">
      <c r="A179" s="7">
        <v>43197.0</v>
      </c>
      <c r="B179" s="126" t="s">
        <v>371</v>
      </c>
      <c r="C179" s="192" t="s">
        <v>372</v>
      </c>
      <c r="D179" s="208" t="s">
        <v>376</v>
      </c>
      <c r="E179" s="208"/>
      <c r="F179" s="145"/>
      <c r="G179" s="199">
        <v>7.05</v>
      </c>
      <c r="H179" s="213" t="s">
        <v>556</v>
      </c>
      <c r="I179" s="193" t="str">
        <f t="shared" si="1"/>
        <v/>
      </c>
      <c r="J179" s="193" t="str">
        <f t="shared" si="2"/>
        <v>Vanguard S&amp;P 500 UCITS ETF</v>
      </c>
      <c r="K179" s="126">
        <f t="shared" si="3"/>
        <v>5439</v>
      </c>
      <c r="L179" s="126">
        <f t="shared" si="4"/>
        <v>-238297.57</v>
      </c>
      <c r="M179" s="195" t="str">
        <f>IF(AND($N179&lt;&gt;"",$O179&lt;&gt;0),MAXIFS(Investment!$L:$L,Investment!$D:$D,$N179),"")</f>
        <v/>
      </c>
      <c r="N179" s="193"/>
      <c r="O179" s="126"/>
      <c r="P179" s="207"/>
    </row>
    <row r="180">
      <c r="A180" s="7">
        <v>43197.0</v>
      </c>
      <c r="B180" s="126" t="s">
        <v>379</v>
      </c>
      <c r="C180" s="192" t="s">
        <v>534</v>
      </c>
      <c r="D180" s="208" t="s">
        <v>376</v>
      </c>
      <c r="E180" s="208"/>
      <c r="F180" s="145"/>
      <c r="G180" s="199">
        <v>-7.05</v>
      </c>
      <c r="H180" s="213" t="s">
        <v>557</v>
      </c>
      <c r="I180" s="193" t="str">
        <f t="shared" si="1"/>
        <v/>
      </c>
      <c r="J180" s="193" t="str">
        <f t="shared" si="2"/>
        <v>Vanguard Intermediate-Term Treasury ETF</v>
      </c>
      <c r="K180" s="126">
        <f t="shared" si="3"/>
        <v>0</v>
      </c>
      <c r="L180" s="126">
        <f t="shared" si="4"/>
        <v>-1817.48</v>
      </c>
      <c r="M180" s="195" t="str">
        <f>IF(AND($N180&lt;&gt;"",$O180&lt;&gt;0),MAXIFS(Investment!$L:$L,Investment!$D:$D,$N180),"")</f>
        <v/>
      </c>
      <c r="N180" s="193"/>
      <c r="O180" s="126"/>
      <c r="P180" s="207"/>
    </row>
    <row r="181">
      <c r="A181" s="7">
        <v>43197.0</v>
      </c>
      <c r="B181" s="197" t="s">
        <v>371</v>
      </c>
      <c r="C181" s="192" t="s">
        <v>372</v>
      </c>
      <c r="D181" s="198" t="s">
        <v>376</v>
      </c>
      <c r="E181" s="198"/>
      <c r="F181" s="145"/>
      <c r="G181" s="199">
        <v>-86.57</v>
      </c>
      <c r="H181" s="213" t="s">
        <v>558</v>
      </c>
      <c r="I181" s="193" t="str">
        <f t="shared" si="1"/>
        <v/>
      </c>
      <c r="J181" s="193" t="str">
        <f t="shared" si="2"/>
        <v>Vanguard S&amp;P 500 UCITS ETF</v>
      </c>
      <c r="K181" s="126">
        <f t="shared" si="3"/>
        <v>5439</v>
      </c>
      <c r="L181" s="126">
        <f t="shared" si="4"/>
        <v>-238297.57</v>
      </c>
      <c r="M181" s="195" t="str">
        <f>IF(AND($N181&lt;&gt;"",$O181&lt;&gt;0),MAXIFS(Investment!$L:$L,Investment!$D:$D,$N181),"")</f>
        <v/>
      </c>
      <c r="N181" s="193"/>
      <c r="O181" s="126"/>
      <c r="P181" s="207"/>
    </row>
    <row r="182">
      <c r="A182" s="7">
        <v>43196.0</v>
      </c>
      <c r="B182" s="197" t="s">
        <v>379</v>
      </c>
      <c r="C182" s="192" t="s">
        <v>534</v>
      </c>
      <c r="D182" s="198" t="s">
        <v>376</v>
      </c>
      <c r="E182" s="198"/>
      <c r="F182" s="145"/>
      <c r="G182" s="199">
        <v>43.62</v>
      </c>
      <c r="H182" s="213" t="s">
        <v>559</v>
      </c>
      <c r="I182" s="193" t="str">
        <f t="shared" si="1"/>
        <v/>
      </c>
      <c r="J182" s="193" t="str">
        <f t="shared" si="2"/>
        <v>Vanguard Intermediate-Term Treasury ETF</v>
      </c>
      <c r="K182" s="126">
        <f t="shared" si="3"/>
        <v>0</v>
      </c>
      <c r="L182" s="126">
        <f t="shared" si="4"/>
        <v>-1817.48</v>
      </c>
      <c r="M182" s="195" t="str">
        <f>IF(AND($N182&lt;&gt;"",$O182&lt;&gt;0),MAXIFS(Investment!$L:$L,Investment!$D:$D,$N182),"")</f>
        <v/>
      </c>
      <c r="N182" s="193"/>
      <c r="O182" s="126"/>
      <c r="P182" s="207"/>
    </row>
    <row r="183">
      <c r="A183" s="7">
        <v>43196.0</v>
      </c>
      <c r="B183" s="197" t="s">
        <v>371</v>
      </c>
      <c r="C183" s="192" t="s">
        <v>372</v>
      </c>
      <c r="D183" s="198" t="s">
        <v>376</v>
      </c>
      <c r="E183" s="198"/>
      <c r="F183" s="145"/>
      <c r="G183" s="199">
        <v>420.27</v>
      </c>
      <c r="H183" s="213" t="s">
        <v>560</v>
      </c>
      <c r="I183" s="193" t="str">
        <f t="shared" si="1"/>
        <v/>
      </c>
      <c r="J183" s="193" t="str">
        <f t="shared" si="2"/>
        <v>Vanguard S&amp;P 500 UCITS ETF</v>
      </c>
      <c r="K183" s="126">
        <f t="shared" si="3"/>
        <v>5439</v>
      </c>
      <c r="L183" s="126">
        <f t="shared" si="4"/>
        <v>-238297.57</v>
      </c>
      <c r="M183" s="195" t="str">
        <f>IF(AND($N183&lt;&gt;"",$O183&lt;&gt;0),MAXIFS(Investment!$L:$L,Investment!$D:$D,$N183),"")</f>
        <v/>
      </c>
      <c r="N183" s="193"/>
      <c r="O183" s="126"/>
      <c r="P183" s="207"/>
    </row>
    <row r="184">
      <c r="A184" s="7">
        <v>43195.0</v>
      </c>
      <c r="B184" s="197"/>
      <c r="C184" s="192"/>
      <c r="D184" s="198" t="s">
        <v>362</v>
      </c>
      <c r="E184" s="198"/>
      <c r="F184" s="145"/>
      <c r="G184" s="199">
        <v>-0.01</v>
      </c>
      <c r="H184" s="213" t="s">
        <v>561</v>
      </c>
      <c r="I184" s="193" t="str">
        <f t="shared" si="1"/>
        <v/>
      </c>
      <c r="J184" s="193" t="str">
        <f t="shared" si="2"/>
        <v/>
      </c>
      <c r="K184" s="126" t="str">
        <f t="shared" si="3"/>
        <v/>
      </c>
      <c r="L184" s="126" t="str">
        <f t="shared" si="4"/>
        <v/>
      </c>
      <c r="M184" s="195" t="str">
        <f>IF(AND($N184&lt;&gt;"",$O184&lt;&gt;0),MAXIFS(Investment!$L:$L,Investment!$D:$D,$N184),"")</f>
        <v/>
      </c>
      <c r="N184" s="193"/>
      <c r="O184" s="126"/>
      <c r="P184" s="207"/>
    </row>
    <row r="185">
      <c r="A185" s="7">
        <v>43195.0</v>
      </c>
      <c r="B185" s="197"/>
      <c r="C185" s="192"/>
      <c r="D185" s="198" t="s">
        <v>362</v>
      </c>
      <c r="E185" s="198"/>
      <c r="F185" s="145"/>
      <c r="G185" s="199">
        <v>-155.56</v>
      </c>
      <c r="H185" s="213" t="s">
        <v>562</v>
      </c>
      <c r="I185" s="193" t="str">
        <f t="shared" si="1"/>
        <v/>
      </c>
      <c r="J185" s="193" t="str">
        <f t="shared" si="2"/>
        <v/>
      </c>
      <c r="K185" s="126" t="str">
        <f t="shared" si="3"/>
        <v/>
      </c>
      <c r="L185" s="126" t="str">
        <f t="shared" si="4"/>
        <v/>
      </c>
      <c r="M185" s="195" t="str">
        <f>IF(AND($N185&lt;&gt;"",$O185&lt;&gt;0),MAXIFS(Investment!$L:$L,Investment!$D:$D,$N185),"")</f>
        <v/>
      </c>
      <c r="N185" s="193"/>
      <c r="O185" s="126"/>
      <c r="P185" s="207"/>
    </row>
    <row r="186">
      <c r="A186" s="7">
        <v>43194.0</v>
      </c>
      <c r="B186" s="197"/>
      <c r="C186" s="192"/>
      <c r="D186" s="198" t="s">
        <v>362</v>
      </c>
      <c r="E186" s="198"/>
      <c r="F186" s="145"/>
      <c r="G186" s="199">
        <v>0.03</v>
      </c>
      <c r="H186" s="213" t="s">
        <v>563</v>
      </c>
      <c r="I186" s="193" t="str">
        <f t="shared" si="1"/>
        <v/>
      </c>
      <c r="J186" s="193" t="str">
        <f t="shared" si="2"/>
        <v/>
      </c>
      <c r="K186" s="126" t="str">
        <f t="shared" si="3"/>
        <v/>
      </c>
      <c r="L186" s="126" t="str">
        <f t="shared" si="4"/>
        <v/>
      </c>
      <c r="M186" s="195" t="str">
        <f>IF(AND($N186&lt;&gt;"",$O186&lt;&gt;0),MAXIFS(Investment!$L:$L,Investment!$D:$D,$N186),"")</f>
        <v/>
      </c>
      <c r="N186" s="193"/>
      <c r="O186" s="126"/>
      <c r="P186" s="207"/>
    </row>
    <row r="187">
      <c r="A187" s="7">
        <v>43182.0</v>
      </c>
      <c r="B187" s="197" t="s">
        <v>374</v>
      </c>
      <c r="C187" s="192" t="s">
        <v>472</v>
      </c>
      <c r="D187" s="198" t="s">
        <v>376</v>
      </c>
      <c r="E187" s="198"/>
      <c r="F187" s="145"/>
      <c r="G187" s="199">
        <v>-89.96</v>
      </c>
      <c r="H187" s="213" t="s">
        <v>564</v>
      </c>
      <c r="I187" s="193" t="str">
        <f t="shared" si="1"/>
        <v/>
      </c>
      <c r="J187" s="193" t="str">
        <f t="shared" si="2"/>
        <v>Vanguard Extended Duration Treasury ETF</v>
      </c>
      <c r="K187" s="126">
        <f t="shared" si="3"/>
        <v>0</v>
      </c>
      <c r="L187" s="126">
        <f t="shared" si="4"/>
        <v>-4941.36</v>
      </c>
      <c r="M187" s="195" t="str">
        <f>IF(AND($N187&lt;&gt;"",$O187&lt;&gt;0),MAXIFS(Investment!$L:$L,Investment!$D:$D,$N187),"")</f>
        <v/>
      </c>
      <c r="N187" s="193"/>
      <c r="O187" s="126"/>
      <c r="P187" s="207"/>
    </row>
    <row r="188">
      <c r="A188" s="7">
        <v>43181.0</v>
      </c>
      <c r="B188" s="197" t="s">
        <v>374</v>
      </c>
      <c r="C188" s="192" t="s">
        <v>472</v>
      </c>
      <c r="D188" s="198" t="s">
        <v>376</v>
      </c>
      <c r="E188" s="198"/>
      <c r="F188" s="145"/>
      <c r="G188" s="199">
        <v>476.2</v>
      </c>
      <c r="H188" s="213" t="s">
        <v>565</v>
      </c>
      <c r="I188" s="193" t="str">
        <f t="shared" si="1"/>
        <v/>
      </c>
      <c r="J188" s="193" t="str">
        <f t="shared" si="2"/>
        <v>Vanguard Extended Duration Treasury ETF</v>
      </c>
      <c r="K188" s="126">
        <f t="shared" si="3"/>
        <v>0</v>
      </c>
      <c r="L188" s="126">
        <f t="shared" si="4"/>
        <v>-4941.36</v>
      </c>
      <c r="M188" s="195" t="str">
        <f>IF(AND($N188&lt;&gt;"",$O188&lt;&gt;0),MAXIFS(Investment!$L:$L,Investment!$D:$D,$N188),"")</f>
        <v/>
      </c>
      <c r="N188" s="193"/>
      <c r="O188" s="126"/>
      <c r="P188" s="207"/>
    </row>
    <row r="189">
      <c r="A189" s="7">
        <v>43170.0</v>
      </c>
      <c r="B189" s="197" t="s">
        <v>379</v>
      </c>
      <c r="C189" s="192" t="s">
        <v>534</v>
      </c>
      <c r="D189" s="198" t="s">
        <v>376</v>
      </c>
      <c r="E189" s="198"/>
      <c r="F189" s="145"/>
      <c r="G189" s="199">
        <v>-7.17</v>
      </c>
      <c r="H189" s="213" t="s">
        <v>566</v>
      </c>
      <c r="I189" s="193" t="str">
        <f t="shared" si="1"/>
        <v/>
      </c>
      <c r="J189" s="193" t="str">
        <f t="shared" si="2"/>
        <v>Vanguard Intermediate-Term Treasury ETF</v>
      </c>
      <c r="K189" s="126">
        <f t="shared" si="3"/>
        <v>0</v>
      </c>
      <c r="L189" s="126">
        <f t="shared" si="4"/>
        <v>-1817.48</v>
      </c>
      <c r="M189" s="195" t="str">
        <f>IF(AND($N189&lt;&gt;"",$O189&lt;&gt;0),MAXIFS(Investment!$L:$L,Investment!$D:$D,$N189),"")</f>
        <v/>
      </c>
      <c r="N189" s="193"/>
      <c r="O189" s="126"/>
      <c r="P189" s="207"/>
    </row>
    <row r="190">
      <c r="A190" s="7">
        <v>43167.0</v>
      </c>
      <c r="B190" s="197" t="s">
        <v>379</v>
      </c>
      <c r="C190" s="192" t="s">
        <v>534</v>
      </c>
      <c r="D190" s="198" t="s">
        <v>376</v>
      </c>
      <c r="E190" s="198"/>
      <c r="F190" s="145"/>
      <c r="G190" s="199">
        <v>38.09</v>
      </c>
      <c r="H190" s="213" t="s">
        <v>567</v>
      </c>
      <c r="I190" s="193" t="str">
        <f t="shared" si="1"/>
        <v/>
      </c>
      <c r="J190" s="193" t="str">
        <f t="shared" si="2"/>
        <v>Vanguard Intermediate-Term Treasury ETF</v>
      </c>
      <c r="K190" s="126">
        <f t="shared" si="3"/>
        <v>0</v>
      </c>
      <c r="L190" s="126">
        <f t="shared" si="4"/>
        <v>-1817.48</v>
      </c>
      <c r="M190" s="195" t="str">
        <f>IF(AND($N190&lt;&gt;"",$O190&lt;&gt;0),MAXIFS(Investment!$L:$L,Investment!$D:$D,$N190),"")</f>
        <v/>
      </c>
      <c r="N190" s="193"/>
      <c r="O190" s="126"/>
      <c r="P190" s="207"/>
    </row>
    <row r="191">
      <c r="A191" s="7">
        <v>43161.0</v>
      </c>
      <c r="B191" s="197"/>
      <c r="C191" s="192"/>
      <c r="D191" s="198" t="s">
        <v>362</v>
      </c>
      <c r="E191" s="198"/>
      <c r="F191" s="145"/>
      <c r="G191" s="199">
        <v>-166.36</v>
      </c>
      <c r="H191" s="213" t="s">
        <v>568</v>
      </c>
      <c r="I191" s="193" t="str">
        <f t="shared" si="1"/>
        <v/>
      </c>
      <c r="J191" s="193" t="str">
        <f t="shared" si="2"/>
        <v/>
      </c>
      <c r="K191" s="126" t="str">
        <f t="shared" si="3"/>
        <v/>
      </c>
      <c r="L191" s="126" t="str">
        <f t="shared" si="4"/>
        <v/>
      </c>
      <c r="M191" s="195" t="str">
        <f>IF(AND($N191&lt;&gt;"",$O191&lt;&gt;0),MAXIFS(Investment!$L:$L,Investment!$D:$D,$N191),"")</f>
        <v/>
      </c>
      <c r="N191" s="193"/>
      <c r="O191" s="126"/>
      <c r="P191" s="207"/>
    </row>
    <row r="192">
      <c r="A192" s="7">
        <v>43143.0</v>
      </c>
      <c r="B192" s="197" t="s">
        <v>371</v>
      </c>
      <c r="C192" s="192" t="s">
        <v>372</v>
      </c>
      <c r="D192" s="198" t="s">
        <v>381</v>
      </c>
      <c r="E192" s="198">
        <v>-30.0</v>
      </c>
      <c r="F192" s="145">
        <v>40.931</v>
      </c>
      <c r="G192" s="199">
        <v>1227.93</v>
      </c>
      <c r="H192" s="213" t="s">
        <v>569</v>
      </c>
      <c r="I192" s="193">
        <f t="shared" si="1"/>
        <v>-27.51</v>
      </c>
      <c r="J192" s="193" t="str">
        <f t="shared" si="2"/>
        <v>Vanguard S&amp;P 500 UCITS ETF</v>
      </c>
      <c r="K192" s="126">
        <f t="shared" si="3"/>
        <v>5439</v>
      </c>
      <c r="L192" s="126">
        <f t="shared" si="4"/>
        <v>-238297.57</v>
      </c>
      <c r="M192" s="195" t="str">
        <f>IF(AND($N192&lt;&gt;"",$O192&lt;&gt;0),MAXIFS(Investment!$L:$L,Investment!$D:$D,$N192),"")</f>
        <v/>
      </c>
      <c r="N192" s="193"/>
      <c r="O192" s="126"/>
      <c r="P192" s="207"/>
    </row>
    <row r="193">
      <c r="A193" s="7">
        <v>43143.0</v>
      </c>
      <c r="B193" s="197" t="s">
        <v>371</v>
      </c>
      <c r="C193" s="192" t="s">
        <v>372</v>
      </c>
      <c r="D193" s="198" t="s">
        <v>381</v>
      </c>
      <c r="E193" s="198">
        <v>-60.0</v>
      </c>
      <c r="F193" s="145">
        <v>40.961</v>
      </c>
      <c r="G193" s="199">
        <v>2457.66</v>
      </c>
      <c r="H193" s="213" t="s">
        <v>570</v>
      </c>
      <c r="I193" s="193">
        <f t="shared" si="1"/>
        <v>-53.22</v>
      </c>
      <c r="J193" s="193" t="str">
        <f t="shared" si="2"/>
        <v>Vanguard S&amp;P 500 UCITS ETF</v>
      </c>
      <c r="K193" s="126">
        <f t="shared" si="3"/>
        <v>5439</v>
      </c>
      <c r="L193" s="126">
        <f t="shared" si="4"/>
        <v>-238297.57</v>
      </c>
      <c r="M193" s="195" t="str">
        <f>IF(AND($N193&lt;&gt;"",$O193&lt;&gt;0),MAXIFS(Investment!$L:$L,Investment!$D:$D,$N193),"")</f>
        <v/>
      </c>
      <c r="N193" s="193"/>
      <c r="O193" s="126"/>
      <c r="P193" s="207"/>
    </row>
    <row r="194">
      <c r="A194" s="7">
        <v>43143.0</v>
      </c>
      <c r="B194" s="197" t="s">
        <v>371</v>
      </c>
      <c r="C194" s="192" t="s">
        <v>372</v>
      </c>
      <c r="D194" s="198" t="s">
        <v>381</v>
      </c>
      <c r="E194" s="198">
        <v>-30.0</v>
      </c>
      <c r="F194" s="145">
        <v>40.966</v>
      </c>
      <c r="G194" s="199">
        <v>1228.98</v>
      </c>
      <c r="H194" s="213" t="s">
        <v>571</v>
      </c>
      <c r="I194" s="193">
        <f t="shared" si="1"/>
        <v>-26.46</v>
      </c>
      <c r="J194" s="193" t="str">
        <f t="shared" si="2"/>
        <v>Vanguard S&amp;P 500 UCITS ETF</v>
      </c>
      <c r="K194" s="126">
        <f t="shared" si="3"/>
        <v>5439</v>
      </c>
      <c r="L194" s="126">
        <f t="shared" si="4"/>
        <v>-238297.57</v>
      </c>
      <c r="M194" s="195" t="str">
        <f>IF(AND($N194&lt;&gt;"",$O194&lt;&gt;0),MAXIFS(Investment!$L:$L,Investment!$D:$D,$N194),"")</f>
        <v/>
      </c>
      <c r="N194" s="193"/>
      <c r="O194" s="126"/>
      <c r="P194" s="207"/>
    </row>
    <row r="195">
      <c r="A195" s="7">
        <v>43143.0</v>
      </c>
      <c r="B195" s="197" t="s">
        <v>371</v>
      </c>
      <c r="C195" s="192" t="s">
        <v>372</v>
      </c>
      <c r="D195" s="198" t="s">
        <v>381</v>
      </c>
      <c r="E195" s="198">
        <v>-30.0</v>
      </c>
      <c r="F195" s="145">
        <v>40.986</v>
      </c>
      <c r="G195" s="199">
        <v>1229.58</v>
      </c>
      <c r="H195" s="213" t="s">
        <v>572</v>
      </c>
      <c r="I195" s="193">
        <f t="shared" si="1"/>
        <v>-25.86</v>
      </c>
      <c r="J195" s="193" t="str">
        <f t="shared" si="2"/>
        <v>Vanguard S&amp;P 500 UCITS ETF</v>
      </c>
      <c r="K195" s="126">
        <f t="shared" si="3"/>
        <v>5439</v>
      </c>
      <c r="L195" s="126">
        <f t="shared" si="4"/>
        <v>-238297.57</v>
      </c>
      <c r="M195" s="195" t="str">
        <f>IF(AND($N195&lt;&gt;"",$O195&lt;&gt;0),MAXIFS(Investment!$L:$L,Investment!$D:$D,$N195),"")</f>
        <v/>
      </c>
      <c r="N195" s="193"/>
      <c r="O195" s="126"/>
      <c r="P195" s="207"/>
    </row>
    <row r="196">
      <c r="A196" s="7">
        <v>43139.0</v>
      </c>
      <c r="B196" s="197" t="s">
        <v>379</v>
      </c>
      <c r="C196" s="192" t="s">
        <v>534</v>
      </c>
      <c r="D196" s="198" t="s">
        <v>376</v>
      </c>
      <c r="E196" s="198"/>
      <c r="F196" s="145"/>
      <c r="G196" s="199">
        <v>-7.02</v>
      </c>
      <c r="H196" s="213" t="s">
        <v>573</v>
      </c>
      <c r="I196" s="193" t="str">
        <f t="shared" si="1"/>
        <v/>
      </c>
      <c r="J196" s="193" t="str">
        <f t="shared" si="2"/>
        <v>Vanguard Intermediate-Term Treasury ETF</v>
      </c>
      <c r="K196" s="126">
        <f t="shared" si="3"/>
        <v>0</v>
      </c>
      <c r="L196" s="126">
        <f t="shared" si="4"/>
        <v>-1817.48</v>
      </c>
      <c r="M196" s="195" t="str">
        <f>IF(AND($N196&lt;&gt;"",$O196&lt;&gt;0),MAXIFS(Investment!$L:$L,Investment!$D:$D,$N196),"")</f>
        <v/>
      </c>
      <c r="N196" s="193"/>
      <c r="O196" s="126"/>
      <c r="P196" s="207"/>
    </row>
    <row r="197">
      <c r="A197" s="7">
        <v>43138.0</v>
      </c>
      <c r="B197" s="197" t="s">
        <v>379</v>
      </c>
      <c r="C197" s="192" t="s">
        <v>534</v>
      </c>
      <c r="D197" s="198" t="s">
        <v>376</v>
      </c>
      <c r="E197" s="198"/>
      <c r="F197" s="145"/>
      <c r="G197" s="199">
        <v>37.88</v>
      </c>
      <c r="H197" s="213" t="s">
        <v>574</v>
      </c>
      <c r="I197" s="193" t="str">
        <f t="shared" si="1"/>
        <v/>
      </c>
      <c r="J197" s="193" t="str">
        <f t="shared" si="2"/>
        <v>Vanguard Intermediate-Term Treasury ETF</v>
      </c>
      <c r="K197" s="126">
        <f t="shared" si="3"/>
        <v>0</v>
      </c>
      <c r="L197" s="126">
        <f t="shared" si="4"/>
        <v>-1817.48</v>
      </c>
      <c r="M197" s="195" t="str">
        <f>IF(AND($N197&lt;&gt;"",$O197&lt;&gt;0),MAXIFS(Investment!$L:$L,Investment!$D:$D,$N197),"")</f>
        <v/>
      </c>
      <c r="N197" s="193"/>
      <c r="O197" s="126"/>
      <c r="P197" s="207"/>
    </row>
    <row r="198">
      <c r="A198" s="7">
        <v>43137.0</v>
      </c>
      <c r="B198" s="197"/>
      <c r="C198" s="192"/>
      <c r="D198" s="198" t="s">
        <v>362</v>
      </c>
      <c r="E198" s="198"/>
      <c r="F198" s="145"/>
      <c r="G198" s="199">
        <v>-0.01</v>
      </c>
      <c r="H198" s="213" t="s">
        <v>561</v>
      </c>
      <c r="I198" s="193" t="str">
        <f t="shared" si="1"/>
        <v/>
      </c>
      <c r="J198" s="193" t="str">
        <f t="shared" si="2"/>
        <v/>
      </c>
      <c r="K198" s="126" t="str">
        <f t="shared" si="3"/>
        <v/>
      </c>
      <c r="L198" s="126" t="str">
        <f t="shared" si="4"/>
        <v/>
      </c>
      <c r="M198" s="195" t="str">
        <f>IF(AND($N198&lt;&gt;"",$O198&lt;&gt;0),MAXIFS(Investment!$L:$L,Investment!$D:$D,$N198),"")</f>
        <v/>
      </c>
      <c r="N198" s="193"/>
      <c r="O198" s="126"/>
      <c r="P198" s="207"/>
    </row>
    <row r="199">
      <c r="A199" s="7">
        <v>43136.0</v>
      </c>
      <c r="B199" s="197" t="s">
        <v>371</v>
      </c>
      <c r="C199" s="192" t="s">
        <v>372</v>
      </c>
      <c r="D199" s="198" t="s">
        <v>381</v>
      </c>
      <c r="E199" s="198">
        <v>-77.0</v>
      </c>
      <c r="F199" s="145">
        <v>41.946</v>
      </c>
      <c r="G199" s="199">
        <v>3229.86</v>
      </c>
      <c r="H199" s="213" t="s">
        <v>575</v>
      </c>
      <c r="I199" s="193">
        <f t="shared" si="1"/>
        <v>7.564</v>
      </c>
      <c r="J199" s="193" t="str">
        <f t="shared" si="2"/>
        <v>Vanguard S&amp;P 500 UCITS ETF</v>
      </c>
      <c r="K199" s="126">
        <f t="shared" si="3"/>
        <v>5439</v>
      </c>
      <c r="L199" s="126">
        <f t="shared" si="4"/>
        <v>-238297.57</v>
      </c>
      <c r="M199" s="195" t="str">
        <f>IF(AND($N199&lt;&gt;"",$O199&lt;&gt;0),MAXIFS(Investment!$L:$L,Investment!$D:$D,$N199),"")</f>
        <v/>
      </c>
      <c r="N199" s="193"/>
      <c r="O199" s="126"/>
      <c r="P199" s="207"/>
    </row>
    <row r="200">
      <c r="A200" s="7">
        <v>43136.0</v>
      </c>
      <c r="B200" s="197" t="s">
        <v>371</v>
      </c>
      <c r="C200" s="192" t="s">
        <v>372</v>
      </c>
      <c r="D200" s="198" t="s">
        <v>381</v>
      </c>
      <c r="E200" s="198">
        <v>-98.0</v>
      </c>
      <c r="F200" s="145">
        <v>42.011</v>
      </c>
      <c r="G200" s="199">
        <v>4117.08</v>
      </c>
      <c r="H200" s="213" t="s">
        <v>576</v>
      </c>
      <c r="I200" s="193">
        <f t="shared" si="1"/>
        <v>15.976</v>
      </c>
      <c r="J200" s="193" t="str">
        <f t="shared" si="2"/>
        <v>Vanguard S&amp;P 500 UCITS ETF</v>
      </c>
      <c r="K200" s="126">
        <f t="shared" si="3"/>
        <v>5439</v>
      </c>
      <c r="L200" s="126">
        <f t="shared" si="4"/>
        <v>-238297.57</v>
      </c>
      <c r="M200" s="195" t="str">
        <f>IF(AND($N200&lt;&gt;"",$O200&lt;&gt;0),MAXIFS(Investment!$L:$L,Investment!$D:$D,$N200),"")</f>
        <v/>
      </c>
      <c r="N200" s="193"/>
      <c r="O200" s="126"/>
      <c r="P200" s="207"/>
    </row>
    <row r="201">
      <c r="A201" s="7">
        <v>43136.0</v>
      </c>
      <c r="B201" s="197" t="s">
        <v>371</v>
      </c>
      <c r="C201" s="192" t="s">
        <v>372</v>
      </c>
      <c r="D201" s="198" t="s">
        <v>381</v>
      </c>
      <c r="E201" s="198">
        <v>-240.0</v>
      </c>
      <c r="F201" s="145">
        <v>41.868</v>
      </c>
      <c r="G201" s="199">
        <v>10048.32</v>
      </c>
      <c r="H201" s="213" t="s">
        <v>577</v>
      </c>
      <c r="I201" s="193">
        <f t="shared" si="1"/>
        <v>4.8</v>
      </c>
      <c r="J201" s="193" t="str">
        <f t="shared" si="2"/>
        <v>Vanguard S&amp;P 500 UCITS ETF</v>
      </c>
      <c r="K201" s="126">
        <f t="shared" si="3"/>
        <v>5439</v>
      </c>
      <c r="L201" s="126">
        <f t="shared" si="4"/>
        <v>-238297.57</v>
      </c>
      <c r="M201" s="195" t="str">
        <f>IF(AND($N201&lt;&gt;"",$O201&lt;&gt;0),MAXIFS(Investment!$L:$L,Investment!$D:$D,$N201),"")</f>
        <v/>
      </c>
      <c r="N201" s="193"/>
      <c r="O201" s="126"/>
      <c r="P201" s="207"/>
    </row>
    <row r="202">
      <c r="A202" s="7">
        <v>43136.0</v>
      </c>
      <c r="B202" s="197" t="s">
        <v>371</v>
      </c>
      <c r="C202" s="192" t="s">
        <v>372</v>
      </c>
      <c r="D202" s="198" t="s">
        <v>381</v>
      </c>
      <c r="E202" s="198">
        <v>-38.0</v>
      </c>
      <c r="F202" s="145">
        <v>41.848</v>
      </c>
      <c r="G202" s="199">
        <v>1590.24</v>
      </c>
      <c r="H202" s="213" t="s">
        <v>578</v>
      </c>
      <c r="I202" s="193">
        <f t="shared" si="1"/>
        <v>0.016</v>
      </c>
      <c r="J202" s="193" t="str">
        <f t="shared" si="2"/>
        <v>Vanguard S&amp;P 500 UCITS ETF</v>
      </c>
      <c r="K202" s="126">
        <f t="shared" si="3"/>
        <v>5439</v>
      </c>
      <c r="L202" s="126">
        <f t="shared" si="4"/>
        <v>-238297.57</v>
      </c>
      <c r="M202" s="195" t="str">
        <f>IF(AND($N202&lt;&gt;"",$O202&lt;&gt;0),MAXIFS(Investment!$L:$L,Investment!$D:$D,$N202),"")</f>
        <v/>
      </c>
      <c r="N202" s="193"/>
      <c r="O202" s="126"/>
      <c r="P202" s="207"/>
    </row>
    <row r="203">
      <c r="A203" s="7">
        <v>43136.0</v>
      </c>
      <c r="B203" s="197" t="s">
        <v>371</v>
      </c>
      <c r="C203" s="192" t="s">
        <v>372</v>
      </c>
      <c r="D203" s="198" t="s">
        <v>381</v>
      </c>
      <c r="E203" s="198">
        <v>-30.0</v>
      </c>
      <c r="F203" s="145">
        <v>41.792</v>
      </c>
      <c r="G203" s="199">
        <v>1253.76</v>
      </c>
      <c r="H203" s="213" t="s">
        <v>579</v>
      </c>
      <c r="I203" s="193">
        <f t="shared" si="1"/>
        <v>-1.68</v>
      </c>
      <c r="J203" s="193" t="str">
        <f t="shared" si="2"/>
        <v>Vanguard S&amp;P 500 UCITS ETF</v>
      </c>
      <c r="K203" s="126">
        <f t="shared" si="3"/>
        <v>5439</v>
      </c>
      <c r="L203" s="126">
        <f t="shared" si="4"/>
        <v>-238297.57</v>
      </c>
      <c r="M203" s="195" t="str">
        <f>IF(AND($N203&lt;&gt;"",$O203&lt;&gt;0),MAXIFS(Investment!$L:$L,Investment!$D:$D,$N203),"")</f>
        <v/>
      </c>
      <c r="N203" s="193"/>
      <c r="O203" s="126"/>
      <c r="P203" s="207"/>
    </row>
    <row r="204">
      <c r="A204" s="7">
        <v>43136.0</v>
      </c>
      <c r="B204" s="197" t="s">
        <v>371</v>
      </c>
      <c r="C204" s="192" t="s">
        <v>372</v>
      </c>
      <c r="D204" s="198" t="s">
        <v>381</v>
      </c>
      <c r="E204" s="198">
        <v>-45.0</v>
      </c>
      <c r="F204" s="145">
        <v>41.811</v>
      </c>
      <c r="G204" s="199">
        <v>1881.5</v>
      </c>
      <c r="H204" s="213" t="s">
        <v>580</v>
      </c>
      <c r="I204" s="193">
        <f t="shared" si="1"/>
        <v>-1.66</v>
      </c>
      <c r="J204" s="193" t="str">
        <f t="shared" si="2"/>
        <v>Vanguard S&amp;P 500 UCITS ETF</v>
      </c>
      <c r="K204" s="126">
        <f t="shared" si="3"/>
        <v>5439</v>
      </c>
      <c r="L204" s="126">
        <f t="shared" si="4"/>
        <v>-238297.57</v>
      </c>
      <c r="M204" s="195" t="str">
        <f>IF(AND($N204&lt;&gt;"",$O204&lt;&gt;0),MAXIFS(Investment!$L:$L,Investment!$D:$D,$N204),"")</f>
        <v/>
      </c>
      <c r="N204" s="193"/>
      <c r="O204" s="126"/>
      <c r="P204" s="207"/>
    </row>
    <row r="205">
      <c r="A205" s="7">
        <v>43136.0</v>
      </c>
      <c r="B205" s="197" t="s">
        <v>371</v>
      </c>
      <c r="C205" s="192" t="s">
        <v>372</v>
      </c>
      <c r="D205" s="198" t="s">
        <v>381</v>
      </c>
      <c r="E205" s="198">
        <v>-50.0</v>
      </c>
      <c r="F205" s="145">
        <v>41.796</v>
      </c>
      <c r="G205" s="199">
        <v>2089.8</v>
      </c>
      <c r="H205" s="213" t="s">
        <v>581</v>
      </c>
      <c r="I205" s="193">
        <f t="shared" si="1"/>
        <v>-2.6</v>
      </c>
      <c r="J205" s="193" t="str">
        <f t="shared" si="2"/>
        <v>Vanguard S&amp;P 500 UCITS ETF</v>
      </c>
      <c r="K205" s="126">
        <f t="shared" si="3"/>
        <v>5439</v>
      </c>
      <c r="L205" s="126">
        <f t="shared" si="4"/>
        <v>-238297.57</v>
      </c>
      <c r="M205" s="195" t="str">
        <f>IF(AND($N205&lt;&gt;"",$O205&lt;&gt;0),MAXIFS(Investment!$L:$L,Investment!$D:$D,$N205),"")</f>
        <v/>
      </c>
      <c r="N205" s="193"/>
      <c r="O205" s="126"/>
      <c r="P205" s="207"/>
    </row>
    <row r="206">
      <c r="A206" s="7">
        <v>43136.0</v>
      </c>
      <c r="B206" s="197" t="s">
        <v>371</v>
      </c>
      <c r="C206" s="192" t="s">
        <v>372</v>
      </c>
      <c r="D206" s="198" t="s">
        <v>381</v>
      </c>
      <c r="E206" s="198">
        <v>-20.0</v>
      </c>
      <c r="F206" s="145">
        <v>41.796</v>
      </c>
      <c r="G206" s="199">
        <v>835.92</v>
      </c>
      <c r="H206" s="213" t="s">
        <v>582</v>
      </c>
      <c r="I206" s="193">
        <f t="shared" si="1"/>
        <v>-1.04</v>
      </c>
      <c r="J206" s="193" t="str">
        <f t="shared" si="2"/>
        <v>Vanguard S&amp;P 500 UCITS ETF</v>
      </c>
      <c r="K206" s="126">
        <f t="shared" si="3"/>
        <v>5439</v>
      </c>
      <c r="L206" s="126">
        <f t="shared" si="4"/>
        <v>-238297.57</v>
      </c>
      <c r="M206" s="195" t="str">
        <f>IF(AND($N206&lt;&gt;"",$O206&lt;&gt;0),MAXIFS(Investment!$L:$L,Investment!$D:$D,$N206),"")</f>
        <v/>
      </c>
      <c r="N206" s="193"/>
      <c r="O206" s="126"/>
      <c r="P206" s="207"/>
    </row>
    <row r="207">
      <c r="A207" s="7">
        <v>43136.0</v>
      </c>
      <c r="B207" s="197" t="s">
        <v>371</v>
      </c>
      <c r="C207" s="192" t="s">
        <v>372</v>
      </c>
      <c r="D207" s="198" t="s">
        <v>362</v>
      </c>
      <c r="E207" s="198"/>
      <c r="F207" s="145"/>
      <c r="G207" s="199">
        <v>-2.17</v>
      </c>
      <c r="H207" s="213" t="s">
        <v>583</v>
      </c>
      <c r="I207" s="193" t="str">
        <f t="shared" si="1"/>
        <v/>
      </c>
      <c r="J207" s="193" t="str">
        <f t="shared" si="2"/>
        <v>Vanguard S&amp;P 500 UCITS ETF</v>
      </c>
      <c r="K207" s="126">
        <f t="shared" si="3"/>
        <v>5439</v>
      </c>
      <c r="L207" s="126">
        <f t="shared" si="4"/>
        <v>-238297.57</v>
      </c>
      <c r="M207" s="195" t="str">
        <f>IF(AND($N207&lt;&gt;"",$O207&lt;&gt;0),MAXIFS(Investment!$L:$L,Investment!$D:$D,$N207),"")</f>
        <v/>
      </c>
      <c r="N207" s="193"/>
      <c r="O207" s="126"/>
      <c r="P207" s="207"/>
    </row>
    <row r="208">
      <c r="A208" s="7">
        <v>43136.0</v>
      </c>
      <c r="B208" s="197" t="s">
        <v>371</v>
      </c>
      <c r="C208" s="192" t="s">
        <v>372</v>
      </c>
      <c r="D208" s="198" t="s">
        <v>381</v>
      </c>
      <c r="E208" s="198">
        <v>-10.0</v>
      </c>
      <c r="F208" s="145">
        <v>41.796</v>
      </c>
      <c r="G208" s="199">
        <v>417.96</v>
      </c>
      <c r="H208" s="213" t="s">
        <v>584</v>
      </c>
      <c r="I208" s="193">
        <f t="shared" si="1"/>
        <v>-0.52</v>
      </c>
      <c r="J208" s="193" t="str">
        <f t="shared" si="2"/>
        <v>Vanguard S&amp;P 500 UCITS ETF</v>
      </c>
      <c r="K208" s="126">
        <f t="shared" si="3"/>
        <v>5439</v>
      </c>
      <c r="L208" s="126">
        <f t="shared" si="4"/>
        <v>-238297.57</v>
      </c>
      <c r="M208" s="195" t="str">
        <f>IF(AND($N208&lt;&gt;"",$O208&lt;&gt;0),MAXIFS(Investment!$L:$L,Investment!$D:$D,$N208),"")</f>
        <v/>
      </c>
      <c r="N208" s="193"/>
      <c r="O208" s="126"/>
      <c r="P208" s="207"/>
    </row>
    <row r="209">
      <c r="A209" s="7">
        <v>43136.0</v>
      </c>
      <c r="B209" s="197" t="s">
        <v>371</v>
      </c>
      <c r="C209" s="192" t="s">
        <v>372</v>
      </c>
      <c r="D209" s="198" t="s">
        <v>362</v>
      </c>
      <c r="E209" s="198"/>
      <c r="F209" s="145"/>
      <c r="G209" s="199">
        <v>-2.08</v>
      </c>
      <c r="H209" s="213" t="s">
        <v>585</v>
      </c>
      <c r="I209" s="193" t="str">
        <f t="shared" si="1"/>
        <v/>
      </c>
      <c r="J209" s="193" t="str">
        <f t="shared" si="2"/>
        <v>Vanguard S&amp;P 500 UCITS ETF</v>
      </c>
      <c r="K209" s="126">
        <f t="shared" si="3"/>
        <v>5439</v>
      </c>
      <c r="L209" s="126">
        <f t="shared" si="4"/>
        <v>-238297.57</v>
      </c>
      <c r="M209" s="195" t="str">
        <f>IF(AND($N209&lt;&gt;"",$O209&lt;&gt;0),MAXIFS(Investment!$L:$L,Investment!$D:$D,$N209),"")</f>
        <v/>
      </c>
      <c r="N209" s="193"/>
      <c r="O209" s="126"/>
      <c r="P209" s="207"/>
    </row>
    <row r="210">
      <c r="A210" s="7">
        <v>43136.0</v>
      </c>
      <c r="B210" s="197"/>
      <c r="C210" s="192"/>
      <c r="D210" s="198" t="s">
        <v>362</v>
      </c>
      <c r="E210" s="198"/>
      <c r="F210" s="145"/>
      <c r="G210" s="199">
        <v>0.02</v>
      </c>
      <c r="H210" s="213" t="s">
        <v>586</v>
      </c>
      <c r="I210" s="193" t="str">
        <f t="shared" si="1"/>
        <v/>
      </c>
      <c r="J210" s="193" t="str">
        <f t="shared" si="2"/>
        <v/>
      </c>
      <c r="K210" s="126" t="str">
        <f t="shared" si="3"/>
        <v/>
      </c>
      <c r="L210" s="126" t="str">
        <f t="shared" si="4"/>
        <v/>
      </c>
      <c r="M210" s="195" t="str">
        <f>IF(AND($N210&lt;&gt;"",$O210&lt;&gt;0),MAXIFS(Investment!$L:$L,Investment!$D:$D,$N210),"")</f>
        <v/>
      </c>
      <c r="N210" s="193"/>
      <c r="O210" s="126"/>
      <c r="P210" s="207"/>
    </row>
    <row r="211">
      <c r="A211" s="7">
        <v>43133.0</v>
      </c>
      <c r="B211" s="197"/>
      <c r="C211" s="192"/>
      <c r="D211" s="198" t="s">
        <v>362</v>
      </c>
      <c r="E211" s="198"/>
      <c r="F211" s="145"/>
      <c r="G211" s="199">
        <v>-193.75</v>
      </c>
      <c r="H211" s="213" t="s">
        <v>587</v>
      </c>
      <c r="I211" s="193" t="str">
        <f t="shared" si="1"/>
        <v/>
      </c>
      <c r="J211" s="193" t="str">
        <f t="shared" si="2"/>
        <v/>
      </c>
      <c r="K211" s="126" t="str">
        <f t="shared" si="3"/>
        <v/>
      </c>
      <c r="L211" s="126" t="str">
        <f t="shared" si="4"/>
        <v/>
      </c>
      <c r="M211" s="195" t="str">
        <f>IF(AND($N211&lt;&gt;"",$O211&lt;&gt;0),MAXIFS(Investment!$L:$L,Investment!$D:$D,$N211),"")</f>
        <v/>
      </c>
      <c r="N211" s="193"/>
      <c r="O211" s="126"/>
      <c r="P211" s="207"/>
    </row>
    <row r="212">
      <c r="A212" s="7">
        <v>43132.0</v>
      </c>
      <c r="B212" s="197"/>
      <c r="C212" s="192"/>
      <c r="D212" s="198" t="s">
        <v>362</v>
      </c>
      <c r="E212" s="198"/>
      <c r="F212" s="145"/>
      <c r="G212" s="199">
        <v>-7.5</v>
      </c>
      <c r="H212" s="213" t="s">
        <v>588</v>
      </c>
      <c r="I212" s="193" t="str">
        <f t="shared" si="1"/>
        <v/>
      </c>
      <c r="J212" s="193" t="str">
        <f t="shared" si="2"/>
        <v/>
      </c>
      <c r="K212" s="126" t="str">
        <f t="shared" si="3"/>
        <v/>
      </c>
      <c r="L212" s="126" t="str">
        <f t="shared" si="4"/>
        <v/>
      </c>
      <c r="M212" s="195" t="str">
        <f>IF(AND($N212&lt;&gt;"",$O212&lt;&gt;0),MAXIFS(Investment!$L:$L,Investment!$D:$D,$N212),"")</f>
        <v/>
      </c>
      <c r="N212" s="193"/>
      <c r="O212" s="126"/>
      <c r="P212" s="207"/>
    </row>
    <row r="213">
      <c r="A213" s="7">
        <v>43126.0</v>
      </c>
      <c r="B213" s="197" t="s">
        <v>367</v>
      </c>
      <c r="C213" s="192" t="s">
        <v>368</v>
      </c>
      <c r="D213" s="198" t="s">
        <v>369</v>
      </c>
      <c r="E213" s="198">
        <v>1375.0</v>
      </c>
      <c r="F213" s="145">
        <v>7.35</v>
      </c>
      <c r="G213" s="199">
        <v>-10106.25</v>
      </c>
      <c r="H213" s="213" t="s">
        <v>589</v>
      </c>
      <c r="I213" s="193">
        <f t="shared" si="1"/>
        <v>-533.5</v>
      </c>
      <c r="J213" s="193" t="str">
        <f t="shared" si="2"/>
        <v>ETFS All Commodities</v>
      </c>
      <c r="K213" s="126">
        <f t="shared" si="3"/>
        <v>8201</v>
      </c>
      <c r="L213" s="126">
        <f t="shared" si="4"/>
        <v>-60467.84</v>
      </c>
      <c r="M213" s="195" t="str">
        <f>IF(AND($N213&lt;&gt;"",$O213&lt;&gt;0),MAXIFS(Investment!$L:$L,Investment!$D:$D,$N213),"")</f>
        <v/>
      </c>
      <c r="N213" s="193"/>
      <c r="O213" s="126"/>
      <c r="P213" s="207"/>
    </row>
    <row r="214">
      <c r="A214" s="7">
        <v>43126.0</v>
      </c>
      <c r="B214" s="197" t="s">
        <v>371</v>
      </c>
      <c r="C214" s="192" t="s">
        <v>372</v>
      </c>
      <c r="D214" s="198" t="s">
        <v>369</v>
      </c>
      <c r="E214" s="198">
        <v>937.0</v>
      </c>
      <c r="F214" s="145">
        <v>43.31</v>
      </c>
      <c r="G214" s="199">
        <v>-40581.47</v>
      </c>
      <c r="H214" s="213" t="s">
        <v>590</v>
      </c>
      <c r="I214" s="193">
        <f t="shared" si="1"/>
        <v>-1369.894</v>
      </c>
      <c r="J214" s="193" t="str">
        <f t="shared" si="2"/>
        <v>Vanguard S&amp;P 500 UCITS ETF</v>
      </c>
      <c r="K214" s="126">
        <f t="shared" si="3"/>
        <v>5439</v>
      </c>
      <c r="L214" s="126">
        <f t="shared" si="4"/>
        <v>-238297.57</v>
      </c>
      <c r="M214" s="195" t="str">
        <f>IF(AND($N214&lt;&gt;"",$O214&lt;&gt;0),MAXIFS(Investment!$L:$L,Investment!$D:$D,$N214),"")</f>
        <v/>
      </c>
      <c r="N214" s="193"/>
      <c r="O214" s="126"/>
      <c r="P214" s="207"/>
    </row>
    <row r="215">
      <c r="A215" s="7">
        <v>43125.0</v>
      </c>
      <c r="B215" s="197"/>
      <c r="C215" s="192"/>
      <c r="D215" s="198" t="s">
        <v>362</v>
      </c>
      <c r="E215" s="198"/>
      <c r="F215" s="145"/>
      <c r="G215" s="199">
        <v>-0.01</v>
      </c>
      <c r="H215" s="213" t="s">
        <v>561</v>
      </c>
      <c r="I215" s="193" t="str">
        <f t="shared" si="1"/>
        <v/>
      </c>
      <c r="J215" s="193" t="str">
        <f t="shared" si="2"/>
        <v/>
      </c>
      <c r="K215" s="126" t="str">
        <f t="shared" si="3"/>
        <v/>
      </c>
      <c r="L215" s="126" t="str">
        <f t="shared" si="4"/>
        <v/>
      </c>
      <c r="M215" s="195" t="str">
        <f>IF(AND($N215&lt;&gt;"",$O215&lt;&gt;0),MAXIFS(Investment!$L:$L,Investment!$D:$D,$N215),"")</f>
        <v/>
      </c>
      <c r="N215" s="193"/>
      <c r="O215" s="126"/>
      <c r="P215" s="207"/>
    </row>
    <row r="216">
      <c r="A216" s="7">
        <v>43124.0</v>
      </c>
      <c r="B216" s="197"/>
      <c r="C216" s="192"/>
      <c r="D216" s="198" t="s">
        <v>362</v>
      </c>
      <c r="E216" s="198"/>
      <c r="F216" s="145"/>
      <c r="G216" s="199">
        <v>0.05</v>
      </c>
      <c r="H216" s="213" t="s">
        <v>591</v>
      </c>
      <c r="I216" s="193" t="str">
        <f t="shared" si="1"/>
        <v/>
      </c>
      <c r="J216" s="193" t="str">
        <f t="shared" si="2"/>
        <v/>
      </c>
      <c r="K216" s="126" t="str">
        <f t="shared" si="3"/>
        <v/>
      </c>
      <c r="L216" s="126" t="str">
        <f t="shared" si="4"/>
        <v/>
      </c>
      <c r="M216" s="195" t="str">
        <f>IF(AND($N216&lt;&gt;"",$O216&lt;&gt;0),MAXIFS(Investment!$L:$L,Investment!$D:$D,$N216),"")</f>
        <v/>
      </c>
      <c r="N216" s="193"/>
      <c r="O216" s="126"/>
      <c r="P216" s="207"/>
    </row>
    <row r="217">
      <c r="A217" s="7">
        <v>43115.0</v>
      </c>
      <c r="B217" s="197" t="s">
        <v>367</v>
      </c>
      <c r="C217" s="192" t="s">
        <v>368</v>
      </c>
      <c r="D217" s="198" t="s">
        <v>369</v>
      </c>
      <c r="E217" s="198">
        <v>860.0</v>
      </c>
      <c r="F217" s="145">
        <v>7.395</v>
      </c>
      <c r="G217" s="199">
        <v>-6359.7</v>
      </c>
      <c r="H217" s="213" t="s">
        <v>592</v>
      </c>
      <c r="I217" s="193">
        <f t="shared" si="1"/>
        <v>-372.38</v>
      </c>
      <c r="J217" s="193" t="str">
        <f t="shared" si="2"/>
        <v>ETFS All Commodities</v>
      </c>
      <c r="K217" s="126">
        <f t="shared" si="3"/>
        <v>8201</v>
      </c>
      <c r="L217" s="126">
        <f t="shared" si="4"/>
        <v>-60467.84</v>
      </c>
      <c r="M217" s="195" t="str">
        <f>IF(AND($N217&lt;&gt;"",$O217&lt;&gt;0),MAXIFS(Investment!$L:$L,Investment!$D:$D,$N217),"")</f>
        <v/>
      </c>
      <c r="N217" s="193"/>
      <c r="O217" s="126"/>
      <c r="P217" s="207"/>
    </row>
    <row r="218">
      <c r="A218" s="7">
        <v>43115.0</v>
      </c>
      <c r="B218" s="197" t="s">
        <v>371</v>
      </c>
      <c r="C218" s="192" t="s">
        <v>372</v>
      </c>
      <c r="D218" s="198" t="s">
        <v>369</v>
      </c>
      <c r="E218" s="198">
        <v>615.0</v>
      </c>
      <c r="F218" s="145">
        <v>43.436</v>
      </c>
      <c r="G218" s="199">
        <v>-26713.14</v>
      </c>
      <c r="H218" s="213" t="s">
        <v>593</v>
      </c>
      <c r="I218" s="193">
        <f t="shared" si="1"/>
        <v>-976.62</v>
      </c>
      <c r="J218" s="193" t="str">
        <f t="shared" si="2"/>
        <v>Vanguard S&amp;P 500 UCITS ETF</v>
      </c>
      <c r="K218" s="126">
        <f t="shared" si="3"/>
        <v>5439</v>
      </c>
      <c r="L218" s="126">
        <f t="shared" si="4"/>
        <v>-238297.57</v>
      </c>
      <c r="M218" s="195" t="str">
        <f>IF(AND($N218&lt;&gt;"",$O218&lt;&gt;0),MAXIFS(Investment!$L:$L,Investment!$D:$D,$N218),"")</f>
        <v/>
      </c>
      <c r="N218" s="193"/>
      <c r="O218" s="126"/>
      <c r="P218" s="207"/>
    </row>
    <row r="219">
      <c r="A219" s="7">
        <v>43110.0</v>
      </c>
      <c r="B219" s="197" t="s">
        <v>371</v>
      </c>
      <c r="C219" s="192" t="s">
        <v>372</v>
      </c>
      <c r="D219" s="198" t="s">
        <v>376</v>
      </c>
      <c r="E219" s="198"/>
      <c r="F219" s="145"/>
      <c r="G219" s="199">
        <v>-42.4</v>
      </c>
      <c r="H219" s="213" t="s">
        <v>594</v>
      </c>
      <c r="I219" s="193" t="str">
        <f t="shared" si="1"/>
        <v/>
      </c>
      <c r="J219" s="193" t="str">
        <f t="shared" si="2"/>
        <v>Vanguard S&amp;P 500 UCITS ETF</v>
      </c>
      <c r="K219" s="126">
        <f t="shared" si="3"/>
        <v>5439</v>
      </c>
      <c r="L219" s="126">
        <f t="shared" si="4"/>
        <v>-238297.57</v>
      </c>
      <c r="M219" s="195" t="str">
        <f>IF(AND($N219&lt;&gt;"",$O219&lt;&gt;0),MAXIFS(Investment!$L:$L,Investment!$D:$D,$N219),"")</f>
        <v/>
      </c>
      <c r="N219" s="193"/>
      <c r="O219" s="126"/>
      <c r="P219" s="207"/>
    </row>
    <row r="220">
      <c r="A220" s="7">
        <v>43109.0</v>
      </c>
      <c r="B220" s="197" t="s">
        <v>371</v>
      </c>
      <c r="C220" s="192" t="s">
        <v>372</v>
      </c>
      <c r="D220" s="198" t="s">
        <v>376</v>
      </c>
      <c r="E220" s="198"/>
      <c r="F220" s="145"/>
      <c r="G220" s="199">
        <v>259.89</v>
      </c>
      <c r="H220" s="213" t="s">
        <v>595</v>
      </c>
      <c r="I220" s="193" t="str">
        <f t="shared" si="1"/>
        <v/>
      </c>
      <c r="J220" s="193" t="str">
        <f t="shared" si="2"/>
        <v>Vanguard S&amp;P 500 UCITS ETF</v>
      </c>
      <c r="K220" s="126">
        <f t="shared" si="3"/>
        <v>5439</v>
      </c>
      <c r="L220" s="126">
        <f t="shared" si="4"/>
        <v>-238297.57</v>
      </c>
      <c r="M220" s="195" t="str">
        <f>IF(AND($N220&lt;&gt;"",$O220&lt;&gt;0),MAXIFS(Investment!$L:$L,Investment!$D:$D,$N220),"")</f>
        <v/>
      </c>
      <c r="N220" s="193"/>
      <c r="O220" s="126"/>
      <c r="P220" s="207"/>
    </row>
    <row r="221">
      <c r="A221" s="7">
        <v>43105.0</v>
      </c>
      <c r="B221" s="197"/>
      <c r="C221" s="192"/>
      <c r="D221" s="198" t="s">
        <v>364</v>
      </c>
      <c r="E221" s="198"/>
      <c r="F221" s="145"/>
      <c r="G221" s="199">
        <v>30000.0</v>
      </c>
      <c r="H221" s="213" t="s">
        <v>596</v>
      </c>
      <c r="I221" s="193" t="str">
        <f t="shared" si="1"/>
        <v/>
      </c>
      <c r="J221" s="193" t="str">
        <f t="shared" si="2"/>
        <v/>
      </c>
      <c r="K221" s="126" t="str">
        <f t="shared" si="3"/>
        <v/>
      </c>
      <c r="L221" s="126" t="str">
        <f t="shared" si="4"/>
        <v/>
      </c>
      <c r="M221" s="195" t="str">
        <f>IF(AND($N221&lt;&gt;"",$O221&lt;&gt;0),MAXIFS(Investment!$L:$L,Investment!$D:$D,$N221),"")</f>
        <v/>
      </c>
      <c r="N221" s="193"/>
      <c r="O221" s="126"/>
      <c r="P221" s="207"/>
    </row>
    <row r="222">
      <c r="A222" s="7">
        <v>43103.0</v>
      </c>
      <c r="B222" s="197" t="s">
        <v>379</v>
      </c>
      <c r="C222" s="192" t="s">
        <v>534</v>
      </c>
      <c r="D222" s="198" t="s">
        <v>376</v>
      </c>
      <c r="E222" s="198"/>
      <c r="F222" s="145"/>
      <c r="G222" s="199">
        <v>-132.32</v>
      </c>
      <c r="H222" s="213" t="s">
        <v>597</v>
      </c>
      <c r="I222" s="193" t="str">
        <f t="shared" si="1"/>
        <v/>
      </c>
      <c r="J222" s="193" t="str">
        <f t="shared" si="2"/>
        <v>Vanguard Intermediate-Term Treasury ETF</v>
      </c>
      <c r="K222" s="126">
        <f t="shared" si="3"/>
        <v>0</v>
      </c>
      <c r="L222" s="126">
        <f t="shared" si="4"/>
        <v>-1817.48</v>
      </c>
      <c r="M222" s="195" t="str">
        <f>IF(AND($N222&lt;&gt;"",$O222&lt;&gt;0),MAXIFS(Investment!$L:$L,Investment!$D:$D,$N222),"")</f>
        <v/>
      </c>
      <c r="N222" s="193"/>
      <c r="O222" s="126"/>
      <c r="P222" s="207"/>
    </row>
    <row r="223">
      <c r="A223" s="7">
        <v>43103.0</v>
      </c>
      <c r="B223" s="197"/>
      <c r="C223" s="192"/>
      <c r="D223" s="198" t="s">
        <v>362</v>
      </c>
      <c r="E223" s="198"/>
      <c r="F223" s="145"/>
      <c r="G223" s="199">
        <v>-127.19</v>
      </c>
      <c r="H223" s="213" t="s">
        <v>598</v>
      </c>
      <c r="I223" s="193" t="str">
        <f t="shared" si="1"/>
        <v/>
      </c>
      <c r="J223" s="193" t="str">
        <f t="shared" si="2"/>
        <v/>
      </c>
      <c r="K223" s="126" t="str">
        <f t="shared" si="3"/>
        <v/>
      </c>
      <c r="L223" s="126" t="str">
        <f t="shared" si="4"/>
        <v/>
      </c>
      <c r="M223" s="195" t="str">
        <f>IF(AND($N223&lt;&gt;"",$O223&lt;&gt;0),MAXIFS(Investment!$L:$L,Investment!$D:$D,$N223),"")</f>
        <v/>
      </c>
      <c r="N223" s="193"/>
      <c r="O223" s="126"/>
      <c r="P223" s="207"/>
    </row>
    <row r="224">
      <c r="A224" s="7">
        <v>43102.0</v>
      </c>
      <c r="B224" s="197" t="s">
        <v>374</v>
      </c>
      <c r="C224" s="192" t="s">
        <v>472</v>
      </c>
      <c r="D224" s="198" t="s">
        <v>376</v>
      </c>
      <c r="E224" s="198"/>
      <c r="F224" s="145"/>
      <c r="G224" s="199">
        <v>519.88</v>
      </c>
      <c r="H224" s="213" t="s">
        <v>599</v>
      </c>
      <c r="I224" s="193" t="str">
        <f t="shared" si="1"/>
        <v/>
      </c>
      <c r="J224" s="193" t="str">
        <f t="shared" si="2"/>
        <v>Vanguard Extended Duration Treasury ETF</v>
      </c>
      <c r="K224" s="126">
        <f t="shared" si="3"/>
        <v>0</v>
      </c>
      <c r="L224" s="126">
        <f t="shared" si="4"/>
        <v>-4941.36</v>
      </c>
      <c r="M224" s="195" t="str">
        <f>IF(AND($N224&lt;&gt;"",$O224&lt;&gt;0),MAXIFS(Investment!$L:$L,Investment!$D:$D,$N224),"")</f>
        <v/>
      </c>
      <c r="N224" s="193"/>
      <c r="O224" s="126"/>
      <c r="P224" s="207"/>
    </row>
    <row r="225">
      <c r="A225" s="7">
        <v>43102.0</v>
      </c>
      <c r="B225" s="197" t="s">
        <v>374</v>
      </c>
      <c r="C225" s="192" t="s">
        <v>472</v>
      </c>
      <c r="D225" s="198" t="s">
        <v>376</v>
      </c>
      <c r="E225" s="198"/>
      <c r="F225" s="145"/>
      <c r="G225" s="199">
        <v>208.14</v>
      </c>
      <c r="H225" s="213" t="s">
        <v>600</v>
      </c>
      <c r="I225" s="193" t="str">
        <f t="shared" si="1"/>
        <v/>
      </c>
      <c r="J225" s="193" t="str">
        <f t="shared" si="2"/>
        <v>Vanguard Extended Duration Treasury ETF</v>
      </c>
      <c r="K225" s="126">
        <f t="shared" si="3"/>
        <v>0</v>
      </c>
      <c r="L225" s="126">
        <f t="shared" si="4"/>
        <v>-4941.36</v>
      </c>
      <c r="M225" s="195" t="str">
        <f>IF(AND($N225&lt;&gt;"",$O225&lt;&gt;0),MAXIFS(Investment!$L:$L,Investment!$D:$D,$N225),"")</f>
        <v/>
      </c>
      <c r="N225" s="193"/>
      <c r="O225" s="126"/>
      <c r="P225" s="207"/>
    </row>
    <row r="226">
      <c r="A226" s="7">
        <v>43102.0</v>
      </c>
      <c r="B226" s="197" t="s">
        <v>379</v>
      </c>
      <c r="C226" s="192" t="s">
        <v>534</v>
      </c>
      <c r="D226" s="198" t="s">
        <v>376</v>
      </c>
      <c r="E226" s="198"/>
      <c r="F226" s="145"/>
      <c r="G226" s="199">
        <v>43.79</v>
      </c>
      <c r="H226" s="213" t="s">
        <v>601</v>
      </c>
      <c r="I226" s="193" t="str">
        <f t="shared" si="1"/>
        <v/>
      </c>
      <c r="J226" s="193" t="str">
        <f t="shared" si="2"/>
        <v>Vanguard Intermediate-Term Treasury ETF</v>
      </c>
      <c r="K226" s="126">
        <f t="shared" si="3"/>
        <v>0</v>
      </c>
      <c r="L226" s="126">
        <f t="shared" si="4"/>
        <v>-1817.48</v>
      </c>
      <c r="M226" s="195" t="str">
        <f>IF(AND($N226&lt;&gt;"",$O226&lt;&gt;0),MAXIFS(Investment!$L:$L,Investment!$D:$D,$N226),"")</f>
        <v/>
      </c>
      <c r="N226" s="193"/>
      <c r="O226" s="126"/>
      <c r="P226" s="207"/>
    </row>
    <row r="227">
      <c r="A227" s="7">
        <v>43090.0</v>
      </c>
      <c r="B227" s="197" t="s">
        <v>371</v>
      </c>
      <c r="C227" s="192" t="s">
        <v>372</v>
      </c>
      <c r="D227" s="198" t="s">
        <v>381</v>
      </c>
      <c r="E227" s="198">
        <v>-26.0</v>
      </c>
      <c r="F227" s="145">
        <v>42.848</v>
      </c>
      <c r="G227" s="199">
        <v>1114.05</v>
      </c>
      <c r="H227" s="213" t="s">
        <v>602</v>
      </c>
      <c r="I227" s="193">
        <f t="shared" si="1"/>
        <v>26.002</v>
      </c>
      <c r="J227" s="193" t="str">
        <f t="shared" si="2"/>
        <v>Vanguard S&amp;P 500 UCITS ETF</v>
      </c>
      <c r="K227" s="126">
        <f t="shared" si="3"/>
        <v>5439</v>
      </c>
      <c r="L227" s="126">
        <f t="shared" si="4"/>
        <v>-238297.57</v>
      </c>
      <c r="M227" s="195" t="str">
        <f>IF(AND($N227&lt;&gt;"",$O227&lt;&gt;0),MAXIFS(Investment!$L:$L,Investment!$D:$D,$N227),"")</f>
        <v/>
      </c>
      <c r="N227" s="193"/>
      <c r="O227" s="126"/>
      <c r="P227" s="207"/>
    </row>
    <row r="228">
      <c r="A228" s="7">
        <v>43090.0</v>
      </c>
      <c r="B228" s="197" t="s">
        <v>371</v>
      </c>
      <c r="C228" s="192" t="s">
        <v>372</v>
      </c>
      <c r="D228" s="198" t="s">
        <v>362</v>
      </c>
      <c r="E228" s="198"/>
      <c r="F228" s="145"/>
      <c r="G228" s="199">
        <v>-2.22</v>
      </c>
      <c r="H228" s="213" t="s">
        <v>603</v>
      </c>
      <c r="I228" s="193" t="str">
        <f t="shared" si="1"/>
        <v/>
      </c>
      <c r="J228" s="193" t="str">
        <f t="shared" si="2"/>
        <v>Vanguard S&amp;P 500 UCITS ETF</v>
      </c>
      <c r="K228" s="126">
        <f t="shared" si="3"/>
        <v>5439</v>
      </c>
      <c r="L228" s="126">
        <f t="shared" si="4"/>
        <v>-238297.57</v>
      </c>
      <c r="M228" s="195" t="str">
        <f>IF(AND($N228&lt;&gt;"",$O228&lt;&gt;0),MAXIFS(Investment!$L:$L,Investment!$D:$D,$N228),"")</f>
        <v/>
      </c>
      <c r="N228" s="193"/>
      <c r="O228" s="126"/>
      <c r="P228" s="207"/>
    </row>
    <row r="229">
      <c r="A229" s="7">
        <v>43089.0</v>
      </c>
      <c r="B229" s="197" t="s">
        <v>374</v>
      </c>
      <c r="C229" s="192" t="s">
        <v>472</v>
      </c>
      <c r="D229" s="198" t="s">
        <v>369</v>
      </c>
      <c r="E229" s="198">
        <v>11.0</v>
      </c>
      <c r="F229" s="145">
        <v>99.46</v>
      </c>
      <c r="G229" s="199">
        <v>-1094.1</v>
      </c>
      <c r="H229" s="213" t="s">
        <v>604</v>
      </c>
      <c r="I229" s="193">
        <f t="shared" si="1"/>
        <v>-1094.1</v>
      </c>
      <c r="J229" s="193" t="str">
        <f t="shared" si="2"/>
        <v>Vanguard Extended Duration Treasury ETF</v>
      </c>
      <c r="K229" s="126">
        <f t="shared" si="3"/>
        <v>0</v>
      </c>
      <c r="L229" s="126">
        <f t="shared" si="4"/>
        <v>-4941.36</v>
      </c>
      <c r="M229" s="195" t="str">
        <f>IF(AND($N229&lt;&gt;"",$O229&lt;&gt;0),MAXIFS(Investment!$L:$L,Investment!$D:$D,$N229),"")</f>
        <v/>
      </c>
      <c r="N229" s="193"/>
      <c r="O229" s="126"/>
      <c r="P229" s="207"/>
    </row>
    <row r="230">
      <c r="A230" s="7">
        <v>43080.0</v>
      </c>
      <c r="B230" s="197" t="s">
        <v>367</v>
      </c>
      <c r="C230" s="192" t="s">
        <v>368</v>
      </c>
      <c r="D230" s="198" t="s">
        <v>369</v>
      </c>
      <c r="E230" s="198">
        <v>311.0</v>
      </c>
      <c r="F230" s="145">
        <v>7.225</v>
      </c>
      <c r="G230" s="199">
        <v>-2246.97</v>
      </c>
      <c r="H230" s="213" t="s">
        <v>605</v>
      </c>
      <c r="I230" s="193">
        <f t="shared" si="1"/>
        <v>-81.788</v>
      </c>
      <c r="J230" s="193" t="str">
        <f t="shared" si="2"/>
        <v>ETFS All Commodities</v>
      </c>
      <c r="K230" s="126">
        <f t="shared" si="3"/>
        <v>8201</v>
      </c>
      <c r="L230" s="126">
        <f t="shared" si="4"/>
        <v>-60467.84</v>
      </c>
      <c r="M230" s="195" t="str">
        <f>IF(AND($N230&lt;&gt;"",$O230&lt;&gt;0),MAXIFS(Investment!$L:$L,Investment!$D:$D,$N230),"")</f>
        <v/>
      </c>
      <c r="N230" s="193"/>
      <c r="O230" s="126"/>
      <c r="P230" s="207"/>
    </row>
    <row r="231">
      <c r="A231" s="7">
        <v>43080.0</v>
      </c>
      <c r="B231" s="197" t="s">
        <v>371</v>
      </c>
      <c r="C231" s="192" t="s">
        <v>372</v>
      </c>
      <c r="D231" s="198" t="s">
        <v>369</v>
      </c>
      <c r="E231" s="198">
        <v>206.0</v>
      </c>
      <c r="F231" s="145">
        <v>42.94</v>
      </c>
      <c r="G231" s="199">
        <v>-8845.64</v>
      </c>
      <c r="H231" s="213" t="s">
        <v>606</v>
      </c>
      <c r="I231" s="193">
        <f t="shared" si="1"/>
        <v>-224.952</v>
      </c>
      <c r="J231" s="193" t="str">
        <f t="shared" si="2"/>
        <v>Vanguard S&amp;P 500 UCITS ETF</v>
      </c>
      <c r="K231" s="126">
        <f t="shared" si="3"/>
        <v>5439</v>
      </c>
      <c r="L231" s="126">
        <f t="shared" si="4"/>
        <v>-238297.57</v>
      </c>
      <c r="M231" s="195" t="str">
        <f>IF(AND($N231&lt;&gt;"",$O231&lt;&gt;0),MAXIFS(Investment!$L:$L,Investment!$D:$D,$N231),"")</f>
        <v/>
      </c>
      <c r="N231" s="193"/>
      <c r="O231" s="126"/>
      <c r="P231" s="207"/>
    </row>
    <row r="232">
      <c r="A232" s="7">
        <v>43080.0</v>
      </c>
      <c r="B232" s="197" t="s">
        <v>385</v>
      </c>
      <c r="C232" s="192" t="s">
        <v>547</v>
      </c>
      <c r="D232" s="198" t="s">
        <v>369</v>
      </c>
      <c r="E232" s="198">
        <v>267.0</v>
      </c>
      <c r="F232" s="145">
        <v>10.17</v>
      </c>
      <c r="G232" s="199">
        <v>-2714.52</v>
      </c>
      <c r="H232" s="213" t="s">
        <v>607</v>
      </c>
      <c r="I232" s="193">
        <f t="shared" si="1"/>
        <v>-2714.52</v>
      </c>
      <c r="J232" s="193" t="str">
        <f t="shared" si="2"/>
        <v>iShares Gold Trust</v>
      </c>
      <c r="K232" s="126">
        <f t="shared" si="3"/>
        <v>0</v>
      </c>
      <c r="L232" s="126">
        <f t="shared" si="4"/>
        <v>140.23</v>
      </c>
      <c r="M232" s="195" t="str">
        <f>IF(AND($N232&lt;&gt;"",$O232&lt;&gt;0),MAXIFS(Investment!$L:$L,Investment!$D:$D,$N232),"")</f>
        <v/>
      </c>
      <c r="N232" s="193"/>
      <c r="O232" s="126"/>
      <c r="P232" s="207"/>
    </row>
    <row r="233">
      <c r="A233" s="7">
        <v>43080.0</v>
      </c>
      <c r="B233" s="197" t="s">
        <v>374</v>
      </c>
      <c r="C233" s="192" t="s">
        <v>472</v>
      </c>
      <c r="D233" s="198" t="s">
        <v>369</v>
      </c>
      <c r="E233" s="198">
        <v>108.0</v>
      </c>
      <c r="F233" s="145">
        <v>103.18</v>
      </c>
      <c r="G233" s="199">
        <v>-11143.33</v>
      </c>
      <c r="H233" s="213" t="s">
        <v>608</v>
      </c>
      <c r="I233" s="193">
        <f t="shared" si="1"/>
        <v>-11143.33</v>
      </c>
      <c r="J233" s="193" t="str">
        <f t="shared" si="2"/>
        <v>Vanguard Extended Duration Treasury ETF</v>
      </c>
      <c r="K233" s="126">
        <f t="shared" si="3"/>
        <v>0</v>
      </c>
      <c r="L233" s="126">
        <f t="shared" si="4"/>
        <v>-4941.36</v>
      </c>
      <c r="M233" s="195" t="str">
        <f>IF(AND($N233&lt;&gt;"",$O233&lt;&gt;0),MAXIFS(Investment!$L:$L,Investment!$D:$D,$N233),"")</f>
        <v/>
      </c>
      <c r="N233" s="193"/>
      <c r="O233" s="126"/>
      <c r="P233" s="207"/>
    </row>
    <row r="234">
      <c r="A234" s="7">
        <v>43080.0</v>
      </c>
      <c r="B234" s="197" t="s">
        <v>379</v>
      </c>
      <c r="C234" s="192" t="s">
        <v>534</v>
      </c>
      <c r="D234" s="198" t="s">
        <v>362</v>
      </c>
      <c r="E234" s="198"/>
      <c r="F234" s="145"/>
      <c r="G234" s="199">
        <v>-3.0</v>
      </c>
      <c r="H234" s="213" t="s">
        <v>609</v>
      </c>
      <c r="I234" s="193" t="str">
        <f t="shared" si="1"/>
        <v/>
      </c>
      <c r="J234" s="193" t="str">
        <f t="shared" si="2"/>
        <v>Vanguard Intermediate-Term Treasury ETF</v>
      </c>
      <c r="K234" s="126">
        <f t="shared" si="3"/>
        <v>0</v>
      </c>
      <c r="L234" s="126">
        <f t="shared" si="4"/>
        <v>-1817.48</v>
      </c>
      <c r="M234" s="195" t="str">
        <f>IF(AND($N234&lt;&gt;"",$O234&lt;&gt;0),MAXIFS(Investment!$L:$L,Investment!$D:$D,$N234),"")</f>
        <v/>
      </c>
      <c r="N234" s="193"/>
      <c r="O234" s="126"/>
      <c r="P234" s="207"/>
    </row>
    <row r="235">
      <c r="A235" s="7">
        <v>43080.0</v>
      </c>
      <c r="B235" s="197" t="s">
        <v>379</v>
      </c>
      <c r="C235" s="192" t="s">
        <v>534</v>
      </c>
      <c r="D235" s="198" t="s">
        <v>369</v>
      </c>
      <c r="E235" s="198">
        <v>92.0</v>
      </c>
      <c r="F235" s="145">
        <v>54.49</v>
      </c>
      <c r="G235" s="199">
        <v>-5013.47</v>
      </c>
      <c r="H235" s="213" t="s">
        <v>610</v>
      </c>
      <c r="I235" s="193">
        <f t="shared" si="1"/>
        <v>-5013.47</v>
      </c>
      <c r="J235" s="193" t="str">
        <f t="shared" si="2"/>
        <v>Vanguard Intermediate-Term Treasury ETF</v>
      </c>
      <c r="K235" s="126">
        <f t="shared" si="3"/>
        <v>0</v>
      </c>
      <c r="L235" s="126">
        <f t="shared" si="4"/>
        <v>-1817.48</v>
      </c>
      <c r="M235" s="195" t="str">
        <f>IF(AND($N235&lt;&gt;"",$O235&lt;&gt;0),MAXIFS(Investment!$L:$L,Investment!$D:$D,$N235),"")</f>
        <v/>
      </c>
      <c r="N235" s="193"/>
      <c r="O235" s="126"/>
      <c r="P235" s="207"/>
    </row>
    <row r="236">
      <c r="A236" s="7">
        <v>43077.0</v>
      </c>
      <c r="B236" s="197" t="s">
        <v>379</v>
      </c>
      <c r="C236" s="192" t="s">
        <v>534</v>
      </c>
      <c r="D236" s="198" t="s">
        <v>376</v>
      </c>
      <c r="E236" s="198"/>
      <c r="F236" s="145"/>
      <c r="G236" s="199">
        <v>-4.96</v>
      </c>
      <c r="H236" s="213" t="s">
        <v>611</v>
      </c>
      <c r="I236" s="193" t="str">
        <f t="shared" si="1"/>
        <v/>
      </c>
      <c r="J236" s="193" t="str">
        <f t="shared" si="2"/>
        <v>Vanguard Intermediate-Term Treasury ETF</v>
      </c>
      <c r="K236" s="126">
        <f t="shared" si="3"/>
        <v>0</v>
      </c>
      <c r="L236" s="126">
        <f t="shared" si="4"/>
        <v>-1817.48</v>
      </c>
      <c r="M236" s="195" t="str">
        <f>IF(AND($N236&lt;&gt;"",$O236&lt;&gt;0),MAXIFS(Investment!$L:$L,Investment!$D:$D,$N236),"")</f>
        <v/>
      </c>
      <c r="N236" s="193"/>
      <c r="O236" s="126"/>
      <c r="P236" s="207"/>
    </row>
    <row r="237">
      <c r="A237" s="7">
        <v>43076.0</v>
      </c>
      <c r="B237" s="197" t="s">
        <v>379</v>
      </c>
      <c r="C237" s="192" t="s">
        <v>534</v>
      </c>
      <c r="D237" s="198" t="s">
        <v>376</v>
      </c>
      <c r="E237" s="198"/>
      <c r="F237" s="145"/>
      <c r="G237" s="199">
        <v>32.39</v>
      </c>
      <c r="H237" s="213" t="s">
        <v>612</v>
      </c>
      <c r="I237" s="193" t="str">
        <f t="shared" si="1"/>
        <v/>
      </c>
      <c r="J237" s="193" t="str">
        <f t="shared" si="2"/>
        <v>Vanguard Intermediate-Term Treasury ETF</v>
      </c>
      <c r="K237" s="126">
        <f t="shared" si="3"/>
        <v>0</v>
      </c>
      <c r="L237" s="126">
        <f t="shared" si="4"/>
        <v>-1817.48</v>
      </c>
      <c r="M237" s="195" t="str">
        <f>IF(AND($N237&lt;&gt;"",$O237&lt;&gt;0),MAXIFS(Investment!$L:$L,Investment!$D:$D,$N237),"")</f>
        <v/>
      </c>
      <c r="N237" s="193"/>
      <c r="O237" s="126"/>
      <c r="P237" s="207"/>
    </row>
    <row r="238">
      <c r="A238" s="7">
        <v>43073.0</v>
      </c>
      <c r="B238" s="197"/>
      <c r="C238" s="192"/>
      <c r="D238" s="198" t="s">
        <v>362</v>
      </c>
      <c r="E238" s="198"/>
      <c r="F238" s="145"/>
      <c r="G238" s="199">
        <v>-102.08</v>
      </c>
      <c r="H238" s="213" t="s">
        <v>613</v>
      </c>
      <c r="I238" s="193" t="str">
        <f t="shared" si="1"/>
        <v/>
      </c>
      <c r="J238" s="193" t="str">
        <f t="shared" si="2"/>
        <v/>
      </c>
      <c r="K238" s="126" t="str">
        <f t="shared" si="3"/>
        <v/>
      </c>
      <c r="L238" s="126" t="str">
        <f t="shared" si="4"/>
        <v/>
      </c>
      <c r="M238" s="195" t="str">
        <f>IF(AND($N238&lt;&gt;"",$O238&lt;&gt;0),MAXIFS(Investment!$L:$L,Investment!$D:$D,$N238),"")</f>
        <v/>
      </c>
      <c r="N238" s="193"/>
      <c r="O238" s="126"/>
      <c r="P238" s="207"/>
    </row>
    <row r="239">
      <c r="A239" s="7">
        <v>43069.0</v>
      </c>
      <c r="B239" s="197"/>
      <c r="C239" s="192"/>
      <c r="D239" s="198" t="s">
        <v>364</v>
      </c>
      <c r="E239" s="198"/>
      <c r="F239" s="145"/>
      <c r="G239" s="199">
        <v>10000.0</v>
      </c>
      <c r="H239" s="213" t="s">
        <v>614</v>
      </c>
      <c r="I239" s="193" t="str">
        <f t="shared" si="1"/>
        <v/>
      </c>
      <c r="J239" s="193" t="str">
        <f t="shared" si="2"/>
        <v/>
      </c>
      <c r="K239" s="126" t="str">
        <f t="shared" si="3"/>
        <v/>
      </c>
      <c r="L239" s="126" t="str">
        <f t="shared" si="4"/>
        <v/>
      </c>
      <c r="M239" s="195" t="str">
        <f>IF(AND($N239&lt;&gt;"",$O239&lt;&gt;0),MAXIFS(Investment!$L:$L,Investment!$D:$D,$N239),"")</f>
        <v/>
      </c>
      <c r="N239" s="193"/>
      <c r="O239" s="126"/>
      <c r="P239" s="207"/>
    </row>
    <row r="240">
      <c r="A240" s="7">
        <v>43066.0</v>
      </c>
      <c r="B240" s="197" t="s">
        <v>374</v>
      </c>
      <c r="C240" s="192" t="s">
        <v>472</v>
      </c>
      <c r="D240" s="198" t="s">
        <v>369</v>
      </c>
      <c r="E240" s="198">
        <v>10.0</v>
      </c>
      <c r="F240" s="145">
        <v>101.56</v>
      </c>
      <c r="G240" s="199">
        <v>-1015.59</v>
      </c>
      <c r="H240" s="213" t="s">
        <v>615</v>
      </c>
      <c r="I240" s="193">
        <f t="shared" si="1"/>
        <v>-1015.59</v>
      </c>
      <c r="J240" s="193" t="str">
        <f t="shared" si="2"/>
        <v>Vanguard Extended Duration Treasury ETF</v>
      </c>
      <c r="K240" s="126">
        <f t="shared" si="3"/>
        <v>0</v>
      </c>
      <c r="L240" s="126">
        <f t="shared" si="4"/>
        <v>-4941.36</v>
      </c>
      <c r="M240" s="195" t="str">
        <f>IF(AND($N240&lt;&gt;"",$O240&lt;&gt;0),MAXIFS(Investment!$L:$L,Investment!$D:$D,$N240),"")</f>
        <v/>
      </c>
      <c r="N240" s="193"/>
      <c r="O240" s="126"/>
      <c r="P240" s="207"/>
    </row>
    <row r="241">
      <c r="A241" s="7">
        <v>43056.0</v>
      </c>
      <c r="B241" s="197"/>
      <c r="C241" s="192"/>
      <c r="D241" s="198" t="s">
        <v>364</v>
      </c>
      <c r="E241" s="198"/>
      <c r="F241" s="145"/>
      <c r="G241" s="199">
        <v>1000.0</v>
      </c>
      <c r="H241" s="213" t="s">
        <v>616</v>
      </c>
      <c r="I241" s="193" t="str">
        <f t="shared" si="1"/>
        <v/>
      </c>
      <c r="J241" s="193" t="str">
        <f t="shared" si="2"/>
        <v/>
      </c>
      <c r="K241" s="126" t="str">
        <f t="shared" si="3"/>
        <v/>
      </c>
      <c r="L241" s="126" t="str">
        <f t="shared" si="4"/>
        <v/>
      </c>
      <c r="M241" s="195" t="str">
        <f>IF(AND($N241&lt;&gt;"",$O241&lt;&gt;0),MAXIFS(Investment!$L:$L,Investment!$D:$D,$N241),"")</f>
        <v/>
      </c>
      <c r="N241" s="193"/>
      <c r="O241" s="126"/>
      <c r="P241" s="207"/>
    </row>
    <row r="242">
      <c r="A242" s="7">
        <v>43047.0</v>
      </c>
      <c r="B242" s="197" t="s">
        <v>379</v>
      </c>
      <c r="C242" s="192" t="s">
        <v>534</v>
      </c>
      <c r="D242" s="198" t="s">
        <v>376</v>
      </c>
      <c r="E242" s="198"/>
      <c r="F242" s="145"/>
      <c r="G242" s="199">
        <v>-3.92</v>
      </c>
      <c r="H242" s="213" t="s">
        <v>617</v>
      </c>
      <c r="I242" s="193" t="str">
        <f t="shared" si="1"/>
        <v/>
      </c>
      <c r="J242" s="193" t="str">
        <f t="shared" si="2"/>
        <v>Vanguard Intermediate-Term Treasury ETF</v>
      </c>
      <c r="K242" s="126">
        <f t="shared" si="3"/>
        <v>0</v>
      </c>
      <c r="L242" s="126">
        <f t="shared" si="4"/>
        <v>-1817.48</v>
      </c>
      <c r="M242" s="195" t="str">
        <f>IF(AND($N242&lt;&gt;"",$O242&lt;&gt;0),MAXIFS(Investment!$L:$L,Investment!$D:$D,$N242),"")</f>
        <v/>
      </c>
      <c r="N242" s="193"/>
      <c r="O242" s="126"/>
      <c r="P242" s="207"/>
    </row>
    <row r="243">
      <c r="A243" s="7">
        <v>43046.0</v>
      </c>
      <c r="B243" s="197" t="s">
        <v>379</v>
      </c>
      <c r="C243" s="192" t="s">
        <v>534</v>
      </c>
      <c r="D243" s="198" t="s">
        <v>376</v>
      </c>
      <c r="E243" s="198"/>
      <c r="F243" s="145"/>
      <c r="G243" s="199">
        <v>28.53</v>
      </c>
      <c r="H243" s="213" t="s">
        <v>618</v>
      </c>
      <c r="I243" s="193" t="str">
        <f t="shared" si="1"/>
        <v/>
      </c>
      <c r="J243" s="193" t="str">
        <f t="shared" si="2"/>
        <v>Vanguard Intermediate-Term Treasury ETF</v>
      </c>
      <c r="K243" s="126">
        <f t="shared" si="3"/>
        <v>0</v>
      </c>
      <c r="L243" s="126">
        <f t="shared" si="4"/>
        <v>-1817.48</v>
      </c>
      <c r="M243" s="195" t="str">
        <f>IF(AND($N243&lt;&gt;"",$O243&lt;&gt;0),MAXIFS(Investment!$L:$L,Investment!$D:$D,$N243),"")</f>
        <v/>
      </c>
      <c r="N243" s="193"/>
      <c r="O243" s="126"/>
      <c r="P243" s="207"/>
    </row>
    <row r="244">
      <c r="A244" s="7">
        <v>43046.0</v>
      </c>
      <c r="B244" s="197" t="s">
        <v>371</v>
      </c>
      <c r="C244" s="192" t="s">
        <v>372</v>
      </c>
      <c r="D244" s="198" t="s">
        <v>369</v>
      </c>
      <c r="E244" s="198">
        <v>48.0</v>
      </c>
      <c r="F244" s="145">
        <v>42.6</v>
      </c>
      <c r="G244" s="199">
        <v>-2044.75</v>
      </c>
      <c r="H244" s="213" t="s">
        <v>619</v>
      </c>
      <c r="I244" s="193">
        <f t="shared" si="1"/>
        <v>-36.046</v>
      </c>
      <c r="J244" s="193" t="str">
        <f t="shared" si="2"/>
        <v>Vanguard S&amp;P 500 UCITS ETF</v>
      </c>
      <c r="K244" s="126">
        <f t="shared" si="3"/>
        <v>5439</v>
      </c>
      <c r="L244" s="126">
        <f t="shared" si="4"/>
        <v>-238297.57</v>
      </c>
      <c r="M244" s="195" t="str">
        <f>IF(AND($N244&lt;&gt;"",$O244&lt;&gt;0),MAXIFS(Investment!$L:$L,Investment!$D:$D,$N244),"")</f>
        <v/>
      </c>
      <c r="N244" s="193"/>
      <c r="O244" s="126"/>
      <c r="P244" s="207"/>
    </row>
    <row r="245">
      <c r="A245" s="7">
        <v>43046.0</v>
      </c>
      <c r="B245" s="197" t="s">
        <v>379</v>
      </c>
      <c r="C245" s="192" t="s">
        <v>534</v>
      </c>
      <c r="D245" s="198" t="s">
        <v>362</v>
      </c>
      <c r="E245" s="198"/>
      <c r="F245" s="145"/>
      <c r="G245" s="199">
        <v>-2.31</v>
      </c>
      <c r="H245" s="213" t="s">
        <v>620</v>
      </c>
      <c r="I245" s="193" t="str">
        <f t="shared" si="1"/>
        <v/>
      </c>
      <c r="J245" s="193" t="str">
        <f t="shared" si="2"/>
        <v>Vanguard Intermediate-Term Treasury ETF</v>
      </c>
      <c r="K245" s="126">
        <f t="shared" si="3"/>
        <v>0</v>
      </c>
      <c r="L245" s="126">
        <f t="shared" si="4"/>
        <v>-1817.48</v>
      </c>
      <c r="M245" s="195" t="str">
        <f>IF(AND($N245&lt;&gt;"",$O245&lt;&gt;0),MAXIFS(Investment!$L:$L,Investment!$D:$D,$N245),"")</f>
        <v/>
      </c>
      <c r="N245" s="193"/>
      <c r="O245" s="126"/>
      <c r="P245" s="207"/>
    </row>
    <row r="246">
      <c r="A246" s="7">
        <v>43046.0</v>
      </c>
      <c r="B246" s="197" t="s">
        <v>367</v>
      </c>
      <c r="C246" s="192" t="s">
        <v>368</v>
      </c>
      <c r="D246" s="198" t="s">
        <v>369</v>
      </c>
      <c r="E246" s="198">
        <v>132.0</v>
      </c>
      <c r="F246" s="145">
        <v>7.675</v>
      </c>
      <c r="G246" s="199">
        <v>-1013.1</v>
      </c>
      <c r="H246" s="213" t="s">
        <v>621</v>
      </c>
      <c r="I246" s="193">
        <f t="shared" si="1"/>
        <v>-94.116</v>
      </c>
      <c r="J246" s="193" t="str">
        <f t="shared" si="2"/>
        <v>ETFS All Commodities</v>
      </c>
      <c r="K246" s="126">
        <f t="shared" si="3"/>
        <v>8201</v>
      </c>
      <c r="L246" s="126">
        <f t="shared" si="4"/>
        <v>-60467.84</v>
      </c>
      <c r="M246" s="195" t="str">
        <f>IF(AND($N246&lt;&gt;"",$O246&lt;&gt;0),MAXIFS(Investment!$L:$L,Investment!$D:$D,$N246),"")</f>
        <v/>
      </c>
      <c r="N246" s="193"/>
      <c r="O246" s="126"/>
      <c r="P246" s="207"/>
    </row>
    <row r="247">
      <c r="A247" s="7">
        <v>43046.0</v>
      </c>
      <c r="B247" s="197" t="s">
        <v>374</v>
      </c>
      <c r="C247" s="192" t="s">
        <v>472</v>
      </c>
      <c r="D247" s="198" t="s">
        <v>369</v>
      </c>
      <c r="E247" s="198">
        <v>27.0</v>
      </c>
      <c r="F247" s="145">
        <v>103.66</v>
      </c>
      <c r="G247" s="199">
        <v>-2798.71</v>
      </c>
      <c r="H247" s="213" t="s">
        <v>622</v>
      </c>
      <c r="I247" s="193">
        <f t="shared" si="1"/>
        <v>-2798.71</v>
      </c>
      <c r="J247" s="193" t="str">
        <f t="shared" si="2"/>
        <v>Vanguard Extended Duration Treasury ETF</v>
      </c>
      <c r="K247" s="126">
        <f t="shared" si="3"/>
        <v>0</v>
      </c>
      <c r="L247" s="126">
        <f t="shared" si="4"/>
        <v>-4941.36</v>
      </c>
      <c r="M247" s="195" t="str">
        <f>IF(AND($N247&lt;&gt;"",$O247&lt;&gt;0),MAXIFS(Investment!$L:$L,Investment!$D:$D,$N247),"")</f>
        <v/>
      </c>
      <c r="N247" s="193"/>
      <c r="O247" s="126"/>
      <c r="P247" s="207"/>
    </row>
    <row r="248">
      <c r="A248" s="7">
        <v>43046.0</v>
      </c>
      <c r="B248" s="197" t="s">
        <v>385</v>
      </c>
      <c r="C248" s="192" t="s">
        <v>547</v>
      </c>
      <c r="D248" s="198" t="s">
        <v>369</v>
      </c>
      <c r="E248" s="198">
        <v>64.0</v>
      </c>
      <c r="F248" s="145">
        <v>10.63</v>
      </c>
      <c r="G248" s="199">
        <v>-680.11</v>
      </c>
      <c r="H248" s="213" t="s">
        <v>623</v>
      </c>
      <c r="I248" s="193">
        <f t="shared" si="1"/>
        <v>-680.11</v>
      </c>
      <c r="J248" s="193" t="str">
        <f t="shared" si="2"/>
        <v>iShares Gold Trust</v>
      </c>
      <c r="K248" s="126">
        <f t="shared" si="3"/>
        <v>0</v>
      </c>
      <c r="L248" s="126">
        <f t="shared" si="4"/>
        <v>140.23</v>
      </c>
      <c r="M248" s="195" t="str">
        <f>IF(AND($N248&lt;&gt;"",$O248&lt;&gt;0),MAXIFS(Investment!$L:$L,Investment!$D:$D,$N248),"")</f>
        <v/>
      </c>
      <c r="N248" s="193"/>
      <c r="O248" s="126"/>
      <c r="P248" s="207"/>
    </row>
    <row r="249">
      <c r="A249" s="7">
        <v>43046.0</v>
      </c>
      <c r="B249" s="197" t="s">
        <v>379</v>
      </c>
      <c r="C249" s="192" t="s">
        <v>534</v>
      </c>
      <c r="D249" s="198" t="s">
        <v>369</v>
      </c>
      <c r="E249" s="198">
        <v>28.0</v>
      </c>
      <c r="F249" s="145">
        <v>55.76</v>
      </c>
      <c r="G249" s="199">
        <v>-1561.34</v>
      </c>
      <c r="H249" s="213" t="s">
        <v>624</v>
      </c>
      <c r="I249" s="193">
        <f t="shared" si="1"/>
        <v>-1561.34</v>
      </c>
      <c r="J249" s="193" t="str">
        <f t="shared" si="2"/>
        <v>Vanguard Intermediate-Term Treasury ETF</v>
      </c>
      <c r="K249" s="126">
        <f t="shared" si="3"/>
        <v>0</v>
      </c>
      <c r="L249" s="126">
        <f t="shared" si="4"/>
        <v>-1817.48</v>
      </c>
      <c r="M249" s="195" t="str">
        <f>IF(AND($N249&lt;&gt;"",$O249&lt;&gt;0),MAXIFS(Investment!$L:$L,Investment!$D:$D,$N249),"")</f>
        <v/>
      </c>
      <c r="N249" s="193"/>
      <c r="O249" s="126"/>
      <c r="P249" s="207"/>
    </row>
    <row r="250">
      <c r="A250" s="7">
        <v>43041.0</v>
      </c>
      <c r="B250" s="197"/>
      <c r="C250" s="192"/>
      <c r="D250" s="198" t="s">
        <v>362</v>
      </c>
      <c r="E250" s="198"/>
      <c r="F250" s="145"/>
      <c r="G250" s="199">
        <v>-93.75</v>
      </c>
      <c r="H250" s="213" t="s">
        <v>625</v>
      </c>
      <c r="I250" s="193" t="str">
        <f t="shared" si="1"/>
        <v/>
      </c>
      <c r="J250" s="193" t="str">
        <f t="shared" si="2"/>
        <v/>
      </c>
      <c r="K250" s="126" t="str">
        <f t="shared" si="3"/>
        <v/>
      </c>
      <c r="L250" s="126" t="str">
        <f t="shared" si="4"/>
        <v/>
      </c>
      <c r="M250" s="195" t="str">
        <f>IF(AND($N250&lt;&gt;"",$O250&lt;&gt;0),MAXIFS(Investment!$L:$L,Investment!$D:$D,$N250),"")</f>
        <v/>
      </c>
      <c r="N250" s="193"/>
      <c r="O250" s="126"/>
      <c r="P250" s="207"/>
    </row>
    <row r="251">
      <c r="A251" s="7">
        <v>43015.0</v>
      </c>
      <c r="B251" s="197" t="s">
        <v>379</v>
      </c>
      <c r="C251" s="192" t="s">
        <v>534</v>
      </c>
      <c r="D251" s="198" t="s">
        <v>376</v>
      </c>
      <c r="E251" s="198"/>
      <c r="F251" s="145"/>
      <c r="G251" s="199">
        <v>-4.5</v>
      </c>
      <c r="H251" s="213" t="s">
        <v>626</v>
      </c>
      <c r="I251" s="193" t="str">
        <f t="shared" si="1"/>
        <v/>
      </c>
      <c r="J251" s="193" t="str">
        <f t="shared" si="2"/>
        <v>Vanguard Intermediate-Term Treasury ETF</v>
      </c>
      <c r="K251" s="126">
        <f t="shared" si="3"/>
        <v>0</v>
      </c>
      <c r="L251" s="126">
        <f t="shared" si="4"/>
        <v>-1817.48</v>
      </c>
      <c r="M251" s="195" t="str">
        <f>IF(AND($N251&lt;&gt;"",$O251&lt;&gt;0),MAXIFS(Investment!$L:$L,Investment!$D:$D,$N251),"")</f>
        <v/>
      </c>
      <c r="N251" s="193"/>
      <c r="O251" s="126"/>
      <c r="P251" s="207"/>
    </row>
    <row r="252">
      <c r="A252" s="7">
        <v>43014.0</v>
      </c>
      <c r="B252" s="197" t="s">
        <v>371</v>
      </c>
      <c r="C252" s="192" t="s">
        <v>372</v>
      </c>
      <c r="D252" s="198" t="s">
        <v>376</v>
      </c>
      <c r="E252" s="198"/>
      <c r="F252" s="145"/>
      <c r="G252" s="199">
        <v>-26.14</v>
      </c>
      <c r="H252" s="213" t="s">
        <v>627</v>
      </c>
      <c r="I252" s="193" t="str">
        <f t="shared" si="1"/>
        <v/>
      </c>
      <c r="J252" s="193" t="str">
        <f t="shared" si="2"/>
        <v>Vanguard S&amp;P 500 UCITS ETF</v>
      </c>
      <c r="K252" s="126">
        <f t="shared" si="3"/>
        <v>5439</v>
      </c>
      <c r="L252" s="126">
        <f t="shared" si="4"/>
        <v>-238297.57</v>
      </c>
      <c r="M252" s="195" t="str">
        <f>IF(AND($N252&lt;&gt;"",$O252&lt;&gt;0),MAXIFS(Investment!$L:$L,Investment!$D:$D,$N252),"")</f>
        <v/>
      </c>
      <c r="N252" s="193"/>
      <c r="O252" s="126"/>
      <c r="P252" s="207"/>
    </row>
    <row r="253">
      <c r="A253" s="7">
        <v>43014.0</v>
      </c>
      <c r="B253" s="197" t="s">
        <v>379</v>
      </c>
      <c r="C253" s="192" t="s">
        <v>534</v>
      </c>
      <c r="D253" s="198" t="s">
        <v>376</v>
      </c>
      <c r="E253" s="198"/>
      <c r="F253" s="145"/>
      <c r="G253" s="199">
        <v>30.34</v>
      </c>
      <c r="H253" s="213" t="s">
        <v>628</v>
      </c>
      <c r="I253" s="193" t="str">
        <f t="shared" si="1"/>
        <v/>
      </c>
      <c r="J253" s="193" t="str">
        <f t="shared" si="2"/>
        <v>Vanguard Intermediate-Term Treasury ETF</v>
      </c>
      <c r="K253" s="126">
        <f t="shared" si="3"/>
        <v>0</v>
      </c>
      <c r="L253" s="126">
        <f t="shared" si="4"/>
        <v>-1817.48</v>
      </c>
      <c r="M253" s="195" t="str">
        <f>IF(AND($N253&lt;&gt;"",$O253&lt;&gt;0),MAXIFS(Investment!$L:$L,Investment!$D:$D,$N253),"")</f>
        <v/>
      </c>
      <c r="N253" s="193"/>
      <c r="O253" s="126"/>
      <c r="P253" s="207"/>
    </row>
    <row r="254">
      <c r="A254" s="7">
        <v>43013.0</v>
      </c>
      <c r="B254" s="197" t="s">
        <v>371</v>
      </c>
      <c r="C254" s="192" t="s">
        <v>372</v>
      </c>
      <c r="D254" s="198" t="s">
        <v>376</v>
      </c>
      <c r="E254" s="198"/>
      <c r="F254" s="145"/>
      <c r="G254" s="199">
        <v>178.2</v>
      </c>
      <c r="H254" s="213" t="s">
        <v>629</v>
      </c>
      <c r="I254" s="193" t="str">
        <f t="shared" si="1"/>
        <v/>
      </c>
      <c r="J254" s="193" t="str">
        <f t="shared" si="2"/>
        <v>Vanguard S&amp;P 500 UCITS ETF</v>
      </c>
      <c r="K254" s="126">
        <f t="shared" si="3"/>
        <v>5439</v>
      </c>
      <c r="L254" s="126">
        <f t="shared" si="4"/>
        <v>-238297.57</v>
      </c>
      <c r="M254" s="195" t="str">
        <f>IF(AND($N254&lt;&gt;"",$O254&lt;&gt;0),MAXIFS(Investment!$L:$L,Investment!$D:$D,$N254),"")</f>
        <v/>
      </c>
      <c r="N254" s="193"/>
      <c r="O254" s="126"/>
      <c r="P254" s="207"/>
    </row>
    <row r="255">
      <c r="A255" s="7">
        <v>43012.0</v>
      </c>
      <c r="B255" s="197" t="s">
        <v>374</v>
      </c>
      <c r="C255" s="192" t="s">
        <v>472</v>
      </c>
      <c r="D255" s="198" t="s">
        <v>376</v>
      </c>
      <c r="E255" s="198"/>
      <c r="F255" s="145"/>
      <c r="G255" s="199">
        <v>-54.04</v>
      </c>
      <c r="H255" s="213" t="s">
        <v>630</v>
      </c>
      <c r="I255" s="193" t="str">
        <f t="shared" si="1"/>
        <v/>
      </c>
      <c r="J255" s="193" t="str">
        <f t="shared" si="2"/>
        <v>Vanguard Extended Duration Treasury ETF</v>
      </c>
      <c r="K255" s="126">
        <f t="shared" si="3"/>
        <v>0</v>
      </c>
      <c r="L255" s="126">
        <f t="shared" si="4"/>
        <v>-4941.36</v>
      </c>
      <c r="M255" s="195" t="str">
        <f>IF(AND($N255&lt;&gt;"",$O255&lt;&gt;0),MAXIFS(Investment!$L:$L,Investment!$D:$D,$N255),"")</f>
        <v/>
      </c>
      <c r="N255" s="193"/>
      <c r="O255" s="126"/>
      <c r="P255" s="207"/>
    </row>
    <row r="256">
      <c r="A256" s="7">
        <v>43012.0</v>
      </c>
      <c r="B256" s="197" t="s">
        <v>379</v>
      </c>
      <c r="C256" s="192" t="s">
        <v>534</v>
      </c>
      <c r="D256" s="198" t="s">
        <v>362</v>
      </c>
      <c r="E256" s="198"/>
      <c r="F256" s="145"/>
      <c r="G256" s="199">
        <v>-2.18</v>
      </c>
      <c r="H256" s="213" t="s">
        <v>631</v>
      </c>
      <c r="I256" s="193" t="str">
        <f t="shared" si="1"/>
        <v/>
      </c>
      <c r="J256" s="193" t="str">
        <f t="shared" si="2"/>
        <v>Vanguard Intermediate-Term Treasury ETF</v>
      </c>
      <c r="K256" s="126">
        <f t="shared" si="3"/>
        <v>0</v>
      </c>
      <c r="L256" s="126">
        <f t="shared" si="4"/>
        <v>-1817.48</v>
      </c>
      <c r="M256" s="195" t="str">
        <f>IF(AND($N256&lt;&gt;"",$O256&lt;&gt;0),MAXIFS(Investment!$L:$L,Investment!$D:$D,$N256),"")</f>
        <v/>
      </c>
      <c r="N256" s="193"/>
      <c r="O256" s="126"/>
      <c r="P256" s="207"/>
    </row>
    <row r="257">
      <c r="A257" s="7">
        <v>43012.0</v>
      </c>
      <c r="B257" s="197" t="s">
        <v>371</v>
      </c>
      <c r="C257" s="192" t="s">
        <v>372</v>
      </c>
      <c r="D257" s="198" t="s">
        <v>369</v>
      </c>
      <c r="E257" s="198">
        <v>25.0</v>
      </c>
      <c r="F257" s="145">
        <v>40.857</v>
      </c>
      <c r="G257" s="199">
        <v>-1021.42</v>
      </c>
      <c r="H257" s="213" t="s">
        <v>632</v>
      </c>
      <c r="I257" s="193">
        <f t="shared" si="1"/>
        <v>24.78</v>
      </c>
      <c r="J257" s="193" t="str">
        <f t="shared" si="2"/>
        <v>Vanguard S&amp;P 500 UCITS ETF</v>
      </c>
      <c r="K257" s="126">
        <f t="shared" si="3"/>
        <v>5439</v>
      </c>
      <c r="L257" s="126">
        <f t="shared" si="4"/>
        <v>-238297.57</v>
      </c>
      <c r="M257" s="195" t="str">
        <f>IF(AND($N257&lt;&gt;"",$O257&lt;&gt;0),MAXIFS(Investment!$L:$L,Investment!$D:$D,$N257),"")</f>
        <v/>
      </c>
      <c r="N257" s="193"/>
      <c r="O257" s="126"/>
      <c r="P257" s="207"/>
    </row>
    <row r="258">
      <c r="A258" s="7">
        <v>43012.0</v>
      </c>
      <c r="B258" s="197" t="s">
        <v>367</v>
      </c>
      <c r="C258" s="192" t="s">
        <v>368</v>
      </c>
      <c r="D258" s="198" t="s">
        <v>369</v>
      </c>
      <c r="E258" s="198">
        <v>174.0</v>
      </c>
      <c r="F258" s="145">
        <v>7.205</v>
      </c>
      <c r="G258" s="199">
        <v>-1253.67</v>
      </c>
      <c r="H258" s="213" t="s">
        <v>633</v>
      </c>
      <c r="I258" s="193">
        <f t="shared" si="1"/>
        <v>-42.282</v>
      </c>
      <c r="J258" s="193" t="str">
        <f t="shared" si="2"/>
        <v>ETFS All Commodities</v>
      </c>
      <c r="K258" s="126">
        <f t="shared" si="3"/>
        <v>8201</v>
      </c>
      <c r="L258" s="126">
        <f t="shared" si="4"/>
        <v>-60467.84</v>
      </c>
      <c r="M258" s="195" t="str">
        <f>IF(AND($N258&lt;&gt;"",$O258&lt;&gt;0),MAXIFS(Investment!$L:$L,Investment!$D:$D,$N258),"")</f>
        <v/>
      </c>
      <c r="N258" s="193"/>
      <c r="O258" s="126"/>
      <c r="P258" s="207"/>
    </row>
    <row r="259">
      <c r="A259" s="7">
        <v>43012.0</v>
      </c>
      <c r="B259" s="197" t="s">
        <v>374</v>
      </c>
      <c r="C259" s="192" t="s">
        <v>472</v>
      </c>
      <c r="D259" s="198" t="s">
        <v>369</v>
      </c>
      <c r="E259" s="198">
        <v>37.0</v>
      </c>
      <c r="F259" s="145">
        <v>99.51</v>
      </c>
      <c r="G259" s="199">
        <v>-3682.04</v>
      </c>
      <c r="H259" s="213" t="s">
        <v>634</v>
      </c>
      <c r="I259" s="193">
        <f t="shared" si="1"/>
        <v>-3682.04</v>
      </c>
      <c r="J259" s="193" t="str">
        <f t="shared" si="2"/>
        <v>Vanguard Extended Duration Treasury ETF</v>
      </c>
      <c r="K259" s="126">
        <f t="shared" si="3"/>
        <v>0</v>
      </c>
      <c r="L259" s="126">
        <f t="shared" si="4"/>
        <v>-4941.36</v>
      </c>
      <c r="M259" s="195" t="str">
        <f>IF(AND($N259&lt;&gt;"",$O259&lt;&gt;0),MAXIFS(Investment!$L:$L,Investment!$D:$D,$N259),"")</f>
        <v/>
      </c>
      <c r="N259" s="193"/>
      <c r="O259" s="126"/>
      <c r="P259" s="207"/>
    </row>
    <row r="260">
      <c r="A260" s="7">
        <v>43012.0</v>
      </c>
      <c r="B260" s="197" t="s">
        <v>385</v>
      </c>
      <c r="C260" s="192" t="s">
        <v>547</v>
      </c>
      <c r="D260" s="198" t="s">
        <v>369</v>
      </c>
      <c r="E260" s="198">
        <v>147.0</v>
      </c>
      <c r="F260" s="145">
        <v>10.44</v>
      </c>
      <c r="G260" s="199">
        <v>-1534.32</v>
      </c>
      <c r="H260" s="213" t="s">
        <v>635</v>
      </c>
      <c r="I260" s="193">
        <f t="shared" si="1"/>
        <v>-1534.32</v>
      </c>
      <c r="J260" s="193" t="str">
        <f t="shared" si="2"/>
        <v>iShares Gold Trust</v>
      </c>
      <c r="K260" s="126">
        <f t="shared" si="3"/>
        <v>0</v>
      </c>
      <c r="L260" s="126">
        <f t="shared" si="4"/>
        <v>140.23</v>
      </c>
      <c r="M260" s="195" t="str">
        <f>IF(AND($N260&lt;&gt;"",$O260&lt;&gt;0),MAXIFS(Investment!$L:$L,Investment!$D:$D,$N260),"")</f>
        <v/>
      </c>
      <c r="N260" s="193"/>
      <c r="O260" s="126"/>
      <c r="P260" s="207"/>
    </row>
    <row r="261">
      <c r="A261" s="7">
        <v>43012.0</v>
      </c>
      <c r="B261" s="197" t="s">
        <v>379</v>
      </c>
      <c r="C261" s="192" t="s">
        <v>534</v>
      </c>
      <c r="D261" s="198" t="s">
        <v>369</v>
      </c>
      <c r="E261" s="198">
        <v>16.0</v>
      </c>
      <c r="F261" s="145">
        <v>55.01</v>
      </c>
      <c r="G261" s="199">
        <v>-880.09</v>
      </c>
      <c r="H261" s="213" t="s">
        <v>636</v>
      </c>
      <c r="I261" s="193">
        <f t="shared" si="1"/>
        <v>-880.09</v>
      </c>
      <c r="J261" s="193" t="str">
        <f t="shared" si="2"/>
        <v>Vanguard Intermediate-Term Treasury ETF</v>
      </c>
      <c r="K261" s="126">
        <f t="shared" si="3"/>
        <v>0</v>
      </c>
      <c r="L261" s="126">
        <f t="shared" si="4"/>
        <v>-1817.48</v>
      </c>
      <c r="M261" s="195" t="str">
        <f>IF(AND($N261&lt;&gt;"",$O261&lt;&gt;0),MAXIFS(Investment!$L:$L,Investment!$D:$D,$N261),"")</f>
        <v/>
      </c>
      <c r="N261" s="193"/>
      <c r="O261" s="126"/>
      <c r="P261" s="207"/>
    </row>
    <row r="262">
      <c r="A262" s="7">
        <v>43011.0</v>
      </c>
      <c r="B262" s="197" t="s">
        <v>374</v>
      </c>
      <c r="C262" s="192" t="s">
        <v>472</v>
      </c>
      <c r="D262" s="198" t="s">
        <v>376</v>
      </c>
      <c r="E262" s="198"/>
      <c r="F262" s="145"/>
      <c r="G262" s="199">
        <v>359.13</v>
      </c>
      <c r="H262" s="213" t="s">
        <v>637</v>
      </c>
      <c r="I262" s="193" t="str">
        <f t="shared" si="1"/>
        <v/>
      </c>
      <c r="J262" s="193" t="str">
        <f t="shared" si="2"/>
        <v>Vanguard Extended Duration Treasury ETF</v>
      </c>
      <c r="K262" s="126">
        <f t="shared" si="3"/>
        <v>0</v>
      </c>
      <c r="L262" s="126">
        <f t="shared" si="4"/>
        <v>-4941.36</v>
      </c>
      <c r="M262" s="195" t="str">
        <f>IF(AND($N262&lt;&gt;"",$O262&lt;&gt;0),MAXIFS(Investment!$L:$L,Investment!$D:$D,$N262),"")</f>
        <v/>
      </c>
      <c r="N262" s="193"/>
      <c r="O262" s="126"/>
      <c r="P262" s="207"/>
    </row>
    <row r="263">
      <c r="A263" s="7">
        <v>43011.0</v>
      </c>
      <c r="B263" s="197"/>
      <c r="C263" s="192"/>
      <c r="D263" s="198" t="s">
        <v>362</v>
      </c>
      <c r="E263" s="198"/>
      <c r="F263" s="145"/>
      <c r="G263" s="199">
        <v>-86.11</v>
      </c>
      <c r="H263" s="213" t="s">
        <v>638</v>
      </c>
      <c r="I263" s="193" t="str">
        <f t="shared" si="1"/>
        <v/>
      </c>
      <c r="J263" s="193" t="str">
        <f t="shared" si="2"/>
        <v/>
      </c>
      <c r="K263" s="126" t="str">
        <f t="shared" si="3"/>
        <v/>
      </c>
      <c r="L263" s="126" t="str">
        <f t="shared" si="4"/>
        <v/>
      </c>
      <c r="M263" s="195" t="str">
        <f>IF(AND($N263&lt;&gt;"",$O263&lt;&gt;0),MAXIFS(Investment!$L:$L,Investment!$D:$D,$N263),"")</f>
        <v/>
      </c>
      <c r="N263" s="193"/>
      <c r="O263" s="126"/>
      <c r="P263" s="207"/>
    </row>
    <row r="264">
      <c r="A264" s="7">
        <v>43009.0</v>
      </c>
      <c r="B264" s="126"/>
      <c r="C264" s="127"/>
      <c r="D264" s="208" t="s">
        <v>364</v>
      </c>
      <c r="E264" s="208"/>
      <c r="F264" s="145"/>
      <c r="G264" s="196">
        <v>-2000.0</v>
      </c>
      <c r="H264" s="216" t="s">
        <v>639</v>
      </c>
      <c r="I264" s="193" t="str">
        <f t="shared" si="1"/>
        <v/>
      </c>
      <c r="J264" s="193" t="str">
        <f t="shared" si="2"/>
        <v/>
      </c>
      <c r="K264" s="126" t="str">
        <f t="shared" si="3"/>
        <v/>
      </c>
      <c r="L264" s="126" t="str">
        <f t="shared" si="4"/>
        <v/>
      </c>
      <c r="M264" s="195" t="str">
        <f>IF(AND($N264&lt;&gt;"",$O264&lt;&gt;0),MAXIFS(Investment!$L:$L,Investment!$D:$D,$N264),"")</f>
        <v/>
      </c>
      <c r="N264" s="193"/>
      <c r="O264" s="126"/>
      <c r="P264" s="207"/>
    </row>
    <row r="265">
      <c r="A265" s="7">
        <v>42996.0</v>
      </c>
      <c r="B265" s="197" t="s">
        <v>371</v>
      </c>
      <c r="C265" s="192" t="s">
        <v>372</v>
      </c>
      <c r="D265" s="198" t="s">
        <v>369</v>
      </c>
      <c r="E265" s="198">
        <v>72.0</v>
      </c>
      <c r="F265" s="145">
        <v>39.983</v>
      </c>
      <c r="G265" s="199">
        <v>-2878.78</v>
      </c>
      <c r="H265" s="213" t="s">
        <v>640</v>
      </c>
      <c r="I265" s="193">
        <f t="shared" si="1"/>
        <v>134.276</v>
      </c>
      <c r="J265" s="193" t="str">
        <f t="shared" si="2"/>
        <v>Vanguard S&amp;P 500 UCITS ETF</v>
      </c>
      <c r="K265" s="126">
        <f t="shared" si="3"/>
        <v>5439</v>
      </c>
      <c r="L265" s="126">
        <f t="shared" si="4"/>
        <v>-238297.57</v>
      </c>
      <c r="M265" s="195" t="str">
        <f>IF(AND($N265&lt;&gt;"",$O265&lt;&gt;0),MAXIFS(Investment!$L:$L,Investment!$D:$D,$N265),"")</f>
        <v/>
      </c>
      <c r="N265" s="193"/>
      <c r="O265" s="126"/>
      <c r="P265" s="207"/>
    </row>
    <row r="266">
      <c r="A266" s="7">
        <v>42993.0</v>
      </c>
      <c r="B266" s="10" t="s">
        <v>374</v>
      </c>
      <c r="C266" s="212" t="s">
        <v>472</v>
      </c>
      <c r="D266" s="32" t="s">
        <v>369</v>
      </c>
      <c r="E266" s="32">
        <v>40.0</v>
      </c>
      <c r="F266" s="145">
        <v>101.03</v>
      </c>
      <c r="G266" s="35">
        <v>-4041.23</v>
      </c>
      <c r="H266" s="217" t="s">
        <v>641</v>
      </c>
      <c r="I266" s="193">
        <f t="shared" si="1"/>
        <v>-4041.23</v>
      </c>
      <c r="J266" s="193" t="str">
        <f t="shared" si="2"/>
        <v>Vanguard Extended Duration Treasury ETF</v>
      </c>
      <c r="K266" s="126">
        <f t="shared" si="3"/>
        <v>0</v>
      </c>
      <c r="L266" s="126">
        <f t="shared" si="4"/>
        <v>-4941.36</v>
      </c>
      <c r="M266" s="195" t="str">
        <f>IF(AND($N266&lt;&gt;"",$O266&lt;&gt;0),MAXIFS(Investment!$L:$L,Investment!$D:$D,$N266),"")</f>
        <v/>
      </c>
      <c r="N266" s="187"/>
      <c r="P266" s="35"/>
    </row>
    <row r="267">
      <c r="A267" s="7">
        <v>42993.0</v>
      </c>
      <c r="B267" s="10" t="s">
        <v>379</v>
      </c>
      <c r="C267" s="212" t="s">
        <v>534</v>
      </c>
      <c r="D267" s="32" t="s">
        <v>362</v>
      </c>
      <c r="E267" s="32"/>
      <c r="F267" s="145"/>
      <c r="G267" s="35">
        <v>-2.32</v>
      </c>
      <c r="H267" s="217" t="s">
        <v>642</v>
      </c>
      <c r="I267" s="193" t="str">
        <f t="shared" si="1"/>
        <v/>
      </c>
      <c r="J267" s="193" t="str">
        <f t="shared" si="2"/>
        <v>Vanguard Intermediate-Term Treasury ETF</v>
      </c>
      <c r="K267" s="126">
        <f t="shared" si="3"/>
        <v>0</v>
      </c>
      <c r="L267" s="126">
        <f t="shared" si="4"/>
        <v>-1817.48</v>
      </c>
      <c r="M267" s="195" t="str">
        <f>IF(AND($N267&lt;&gt;"",$O267&lt;&gt;0),MAXIFS(Investment!$L:$L,Investment!$D:$D,$N267),"")</f>
        <v/>
      </c>
      <c r="N267" s="187"/>
      <c r="P267" s="35"/>
    </row>
    <row r="268">
      <c r="A268" s="7">
        <v>42993.0</v>
      </c>
      <c r="B268" s="10" t="s">
        <v>379</v>
      </c>
      <c r="C268" s="212" t="s">
        <v>534</v>
      </c>
      <c r="D268" s="32" t="s">
        <v>369</v>
      </c>
      <c r="E268" s="32">
        <v>29.0</v>
      </c>
      <c r="F268" s="145">
        <v>54.53</v>
      </c>
      <c r="G268" s="35">
        <v>-1581.45</v>
      </c>
      <c r="H268" s="217" t="s">
        <v>643</v>
      </c>
      <c r="I268" s="193">
        <f t="shared" si="1"/>
        <v>-1581.45</v>
      </c>
      <c r="J268" s="193" t="str">
        <f t="shared" si="2"/>
        <v>Vanguard Intermediate-Term Treasury ETF</v>
      </c>
      <c r="K268" s="126">
        <f t="shared" si="3"/>
        <v>0</v>
      </c>
      <c r="L268" s="126">
        <f t="shared" si="4"/>
        <v>-1817.48</v>
      </c>
      <c r="M268" s="195" t="str">
        <f>IF(AND($N268&lt;&gt;"",$O268&lt;&gt;0),MAXIFS(Investment!$L:$L,Investment!$D:$D,$N268),"")</f>
        <v/>
      </c>
      <c r="N268" s="187"/>
      <c r="P268" s="35"/>
    </row>
    <row r="269">
      <c r="A269" s="7">
        <v>42993.0</v>
      </c>
      <c r="C269" s="30"/>
      <c r="D269" s="32" t="s">
        <v>364</v>
      </c>
      <c r="E269" s="32"/>
      <c r="F269" s="145"/>
      <c r="G269" s="35">
        <v>8500.0</v>
      </c>
      <c r="H269" s="217" t="s">
        <v>644</v>
      </c>
      <c r="I269" s="193" t="str">
        <f t="shared" si="1"/>
        <v/>
      </c>
      <c r="J269" s="193" t="str">
        <f t="shared" si="2"/>
        <v/>
      </c>
      <c r="K269" s="126" t="str">
        <f t="shared" si="3"/>
        <v/>
      </c>
      <c r="L269" s="126" t="str">
        <f t="shared" si="4"/>
        <v/>
      </c>
      <c r="M269" s="195" t="str">
        <f>IF(AND($N269&lt;&gt;"",$O269&lt;&gt;0),MAXIFS(Investment!$L:$L,Investment!$D:$D,$N269),"")</f>
        <v/>
      </c>
      <c r="N269" s="187"/>
      <c r="P269" s="35"/>
    </row>
    <row r="270">
      <c r="A270" s="7">
        <v>42992.0</v>
      </c>
      <c r="C270" s="30"/>
      <c r="D270" s="31" t="s">
        <v>364</v>
      </c>
      <c r="E270" s="32" t="s">
        <v>645</v>
      </c>
      <c r="F270" s="145" t="s">
        <v>645</v>
      </c>
      <c r="G270" s="35">
        <v>-30.0</v>
      </c>
      <c r="H270" s="218" t="s">
        <v>646</v>
      </c>
      <c r="I270" s="193" t="str">
        <f t="shared" si="1"/>
        <v/>
      </c>
      <c r="J270" s="193" t="str">
        <f t="shared" si="2"/>
        <v/>
      </c>
      <c r="K270" s="126" t="str">
        <f t="shared" si="3"/>
        <v/>
      </c>
      <c r="L270" s="126" t="str">
        <f t="shared" si="4"/>
        <v/>
      </c>
      <c r="M270" s="195" t="str">
        <f>IF(AND($N270&lt;&gt;"",$O270&lt;&gt;0),MAXIFS(Investment!$L:$L,Investment!$D:$D,$N270),"")</f>
        <v/>
      </c>
      <c r="N270" s="187"/>
      <c r="P270" s="35"/>
    </row>
    <row r="271">
      <c r="A271" s="7">
        <v>42988.0</v>
      </c>
      <c r="B271" s="197" t="s">
        <v>379</v>
      </c>
      <c r="C271" s="192" t="s">
        <v>534</v>
      </c>
      <c r="D271" s="198" t="s">
        <v>376</v>
      </c>
      <c r="E271" s="198"/>
      <c r="F271" s="145"/>
      <c r="G271" s="199">
        <v>-4.0</v>
      </c>
      <c r="H271" s="213" t="s">
        <v>647</v>
      </c>
      <c r="I271" s="193" t="str">
        <f t="shared" si="1"/>
        <v/>
      </c>
      <c r="J271" s="193" t="str">
        <f t="shared" si="2"/>
        <v>Vanguard Intermediate-Term Treasury ETF</v>
      </c>
      <c r="K271" s="126">
        <f t="shared" si="3"/>
        <v>0</v>
      </c>
      <c r="L271" s="126">
        <f t="shared" si="4"/>
        <v>-1817.48</v>
      </c>
      <c r="M271" s="195" t="str">
        <f>IF(AND($N271&lt;&gt;"",$O271&lt;&gt;0),MAXIFS(Investment!$L:$L,Investment!$D:$D,$N271),"")</f>
        <v/>
      </c>
      <c r="N271" s="193"/>
      <c r="O271" s="126"/>
      <c r="P271" s="207"/>
    </row>
    <row r="272">
      <c r="A272" s="7">
        <v>42987.0</v>
      </c>
      <c r="B272" s="197" t="s">
        <v>379</v>
      </c>
      <c r="C272" s="192" t="s">
        <v>534</v>
      </c>
      <c r="D272" s="198" t="s">
        <v>376</v>
      </c>
      <c r="E272" s="198"/>
      <c r="F272" s="145"/>
      <c r="G272" s="199">
        <v>23.49</v>
      </c>
      <c r="H272" s="213" t="s">
        <v>648</v>
      </c>
      <c r="I272" s="193" t="str">
        <f t="shared" si="1"/>
        <v/>
      </c>
      <c r="J272" s="193" t="str">
        <f t="shared" si="2"/>
        <v>Vanguard Intermediate-Term Treasury ETF</v>
      </c>
      <c r="K272" s="126">
        <f t="shared" si="3"/>
        <v>0</v>
      </c>
      <c r="L272" s="126">
        <f t="shared" si="4"/>
        <v>-1817.48</v>
      </c>
      <c r="M272" s="195" t="str">
        <f>IF(AND($N272&lt;&gt;"",$O272&lt;&gt;0),MAXIFS(Investment!$L:$L,Investment!$D:$D,$N272),"")</f>
        <v/>
      </c>
      <c r="N272" s="193"/>
      <c r="O272" s="126"/>
      <c r="P272" s="207"/>
    </row>
    <row r="273">
      <c r="A273" s="7">
        <v>42982.0</v>
      </c>
      <c r="B273" s="197"/>
      <c r="C273" s="192"/>
      <c r="D273" s="198" t="s">
        <v>362</v>
      </c>
      <c r="E273" s="198"/>
      <c r="F273" s="145"/>
      <c r="G273" s="199">
        <v>-78.9</v>
      </c>
      <c r="H273" s="213" t="s">
        <v>649</v>
      </c>
      <c r="I273" s="193" t="str">
        <f t="shared" si="1"/>
        <v/>
      </c>
      <c r="J273" s="193" t="str">
        <f t="shared" si="2"/>
        <v/>
      </c>
      <c r="K273" s="126" t="str">
        <f t="shared" si="3"/>
        <v/>
      </c>
      <c r="L273" s="126" t="str">
        <f t="shared" si="4"/>
        <v/>
      </c>
      <c r="M273" s="195" t="str">
        <f>IF(AND($N273&lt;&gt;"",$O273&lt;&gt;0),MAXIFS(Investment!$L:$L,Investment!$D:$D,$N273),"")</f>
        <v/>
      </c>
      <c r="N273" s="193"/>
      <c r="O273" s="126"/>
      <c r="P273" s="207"/>
    </row>
    <row r="274">
      <c r="A274" s="7">
        <v>42979.0</v>
      </c>
      <c r="B274" s="197" t="s">
        <v>371</v>
      </c>
      <c r="C274" s="192" t="s">
        <v>372</v>
      </c>
      <c r="D274" s="198" t="s">
        <v>369</v>
      </c>
      <c r="E274" s="198">
        <v>57.0</v>
      </c>
      <c r="F274" s="145">
        <v>39.711</v>
      </c>
      <c r="G274" s="199">
        <v>-2263.53</v>
      </c>
      <c r="H274" s="213" t="s">
        <v>650</v>
      </c>
      <c r="I274" s="193">
        <f t="shared" si="1"/>
        <v>121.806</v>
      </c>
      <c r="J274" s="193" t="str">
        <f t="shared" si="2"/>
        <v>Vanguard S&amp;P 500 UCITS ETF</v>
      </c>
      <c r="K274" s="126">
        <f t="shared" si="3"/>
        <v>5439</v>
      </c>
      <c r="L274" s="126">
        <f t="shared" si="4"/>
        <v>-238297.57</v>
      </c>
      <c r="M274" s="195" t="str">
        <f>IF(AND($N274&lt;&gt;"",$O274&lt;&gt;0),MAXIFS(Investment!$L:$L,Investment!$D:$D,$N274),"")</f>
        <v/>
      </c>
      <c r="N274" s="193"/>
      <c r="O274" s="126"/>
      <c r="P274" s="207"/>
    </row>
    <row r="275">
      <c r="A275" s="7">
        <v>42979.0</v>
      </c>
      <c r="B275" s="10" t="s">
        <v>374</v>
      </c>
      <c r="C275" s="212" t="s">
        <v>472</v>
      </c>
      <c r="D275" s="10" t="s">
        <v>369</v>
      </c>
      <c r="E275" s="10">
        <v>23.0</v>
      </c>
      <c r="F275" s="145">
        <v>101.21</v>
      </c>
      <c r="G275" s="35">
        <v>-2327.77</v>
      </c>
      <c r="H275" s="219" t="s">
        <v>651</v>
      </c>
      <c r="I275" s="193">
        <f t="shared" si="1"/>
        <v>-2327.77</v>
      </c>
      <c r="J275" s="193" t="str">
        <f t="shared" si="2"/>
        <v>Vanguard Extended Duration Treasury ETF</v>
      </c>
      <c r="K275" s="126">
        <f t="shared" si="3"/>
        <v>0</v>
      </c>
      <c r="L275" s="126">
        <f t="shared" si="4"/>
        <v>-4941.36</v>
      </c>
      <c r="M275" s="195" t="str">
        <f>IF(AND($N275&lt;&gt;"",$O275&lt;&gt;0),MAXIFS(Investment!$L:$L,Investment!$D:$D,$N275),"")</f>
        <v/>
      </c>
      <c r="N275" s="187"/>
      <c r="P275" s="35"/>
    </row>
    <row r="276">
      <c r="A276" s="7">
        <v>42979.0</v>
      </c>
      <c r="B276" s="10" t="s">
        <v>379</v>
      </c>
      <c r="C276" s="212" t="s">
        <v>534</v>
      </c>
      <c r="D276" s="10" t="s">
        <v>362</v>
      </c>
      <c r="E276" s="138"/>
      <c r="F276" s="145"/>
      <c r="G276" s="35">
        <v>-0.8</v>
      </c>
      <c r="H276" s="219" t="s">
        <v>652</v>
      </c>
      <c r="I276" s="193" t="str">
        <f t="shared" si="1"/>
        <v/>
      </c>
      <c r="J276" s="193" t="str">
        <f t="shared" si="2"/>
        <v>Vanguard Intermediate-Term Treasury ETF</v>
      </c>
      <c r="K276" s="126">
        <f t="shared" si="3"/>
        <v>0</v>
      </c>
      <c r="L276" s="126">
        <f t="shared" si="4"/>
        <v>-1817.48</v>
      </c>
      <c r="M276" s="195" t="str">
        <f>IF(AND($N276&lt;&gt;"",$O276&lt;&gt;0),MAXIFS(Investment!$L:$L,Investment!$D:$D,$N276),"")</f>
        <v/>
      </c>
      <c r="N276" s="187"/>
      <c r="P276" s="35"/>
    </row>
    <row r="277">
      <c r="A277" s="7">
        <v>42979.0</v>
      </c>
      <c r="B277" s="10" t="s">
        <v>379</v>
      </c>
      <c r="C277" s="212" t="s">
        <v>534</v>
      </c>
      <c r="D277" s="10" t="s">
        <v>369</v>
      </c>
      <c r="E277" s="10">
        <v>21.0</v>
      </c>
      <c r="F277" s="145">
        <v>54.9</v>
      </c>
      <c r="G277" s="35">
        <v>-1152.82</v>
      </c>
      <c r="H277" s="219" t="s">
        <v>653</v>
      </c>
      <c r="I277" s="193">
        <f t="shared" si="1"/>
        <v>-1152.82</v>
      </c>
      <c r="J277" s="193" t="str">
        <f t="shared" si="2"/>
        <v>Vanguard Intermediate-Term Treasury ETF</v>
      </c>
      <c r="K277" s="126">
        <f t="shared" si="3"/>
        <v>0</v>
      </c>
      <c r="L277" s="126">
        <f t="shared" si="4"/>
        <v>-1817.48</v>
      </c>
      <c r="M277" s="195" t="str">
        <f>IF(AND($N277&lt;&gt;"",$O277&lt;&gt;0),MAXIFS(Investment!$L:$L,Investment!$D:$D,$N277),"")</f>
        <v/>
      </c>
      <c r="N277" s="187"/>
      <c r="P277" s="35"/>
    </row>
    <row r="278">
      <c r="A278" s="7">
        <v>42979.0</v>
      </c>
      <c r="B278" s="10" t="s">
        <v>367</v>
      </c>
      <c r="C278" s="212" t="s">
        <v>368</v>
      </c>
      <c r="D278" s="10" t="s">
        <v>369</v>
      </c>
      <c r="E278" s="10">
        <v>83.0</v>
      </c>
      <c r="F278" s="145">
        <v>7.215</v>
      </c>
      <c r="G278" s="35">
        <v>-598.84</v>
      </c>
      <c r="H278" s="219" t="s">
        <v>654</v>
      </c>
      <c r="I278" s="193">
        <f t="shared" si="1"/>
        <v>-20.994</v>
      </c>
      <c r="J278" s="193" t="str">
        <f t="shared" si="2"/>
        <v>ETFS All Commodities</v>
      </c>
      <c r="K278" s="126">
        <f t="shared" si="3"/>
        <v>8201</v>
      </c>
      <c r="L278" s="126">
        <f t="shared" si="4"/>
        <v>-60467.84</v>
      </c>
      <c r="M278" s="195" t="str">
        <f>IF(AND($N278&lt;&gt;"",$O278&lt;&gt;0),MAXIFS(Investment!$L:$L,Investment!$D:$D,$N278),"")</f>
        <v/>
      </c>
      <c r="N278" s="187"/>
      <c r="P278" s="35"/>
    </row>
    <row r="279">
      <c r="A279" s="7">
        <v>42979.0</v>
      </c>
      <c r="B279" s="10" t="s">
        <v>385</v>
      </c>
      <c r="C279" s="212" t="s">
        <v>547</v>
      </c>
      <c r="D279" s="10" t="s">
        <v>369</v>
      </c>
      <c r="E279" s="10">
        <v>26.0</v>
      </c>
      <c r="F279" s="145">
        <v>10.7</v>
      </c>
      <c r="G279" s="35">
        <v>-278.32</v>
      </c>
      <c r="H279" s="219" t="s">
        <v>655</v>
      </c>
      <c r="I279" s="193">
        <f t="shared" si="1"/>
        <v>-278.32</v>
      </c>
      <c r="J279" s="193" t="str">
        <f t="shared" si="2"/>
        <v>iShares Gold Trust</v>
      </c>
      <c r="K279" s="126">
        <f t="shared" si="3"/>
        <v>0</v>
      </c>
      <c r="L279" s="126">
        <f t="shared" si="4"/>
        <v>140.23</v>
      </c>
      <c r="M279" s="195" t="str">
        <f>IF(AND($N279&lt;&gt;"",$O279&lt;&gt;0),MAXIFS(Investment!$L:$L,Investment!$D:$D,$N279),"")</f>
        <v/>
      </c>
      <c r="N279" s="187"/>
      <c r="P279" s="35"/>
    </row>
    <row r="280">
      <c r="A280" s="7">
        <v>42956.0</v>
      </c>
      <c r="B280" s="197" t="s">
        <v>379</v>
      </c>
      <c r="C280" s="192" t="s">
        <v>534</v>
      </c>
      <c r="D280" s="198" t="s">
        <v>376</v>
      </c>
      <c r="E280" s="198"/>
      <c r="F280" s="145"/>
      <c r="G280" s="199">
        <v>-3.14</v>
      </c>
      <c r="H280" s="213" t="s">
        <v>656</v>
      </c>
      <c r="I280" s="193" t="str">
        <f t="shared" si="1"/>
        <v/>
      </c>
      <c r="J280" s="193" t="str">
        <f t="shared" si="2"/>
        <v>Vanguard Intermediate-Term Treasury ETF</v>
      </c>
      <c r="K280" s="126">
        <f t="shared" si="3"/>
        <v>0</v>
      </c>
      <c r="L280" s="126">
        <f t="shared" si="4"/>
        <v>-1817.48</v>
      </c>
      <c r="M280" s="195" t="str">
        <f>IF(AND($N280&lt;&gt;"",$O280&lt;&gt;0),MAXIFS(Investment!$L:$L,Investment!$D:$D,$N280),"")</f>
        <v/>
      </c>
      <c r="N280" s="193"/>
      <c r="O280" s="126"/>
      <c r="P280" s="207"/>
    </row>
    <row r="281">
      <c r="A281" s="7">
        <v>42955.0</v>
      </c>
      <c r="B281" s="197" t="s">
        <v>379</v>
      </c>
      <c r="C281" s="192" t="s">
        <v>534</v>
      </c>
      <c r="D281" s="198" t="s">
        <v>376</v>
      </c>
      <c r="E281" s="198"/>
      <c r="F281" s="145"/>
      <c r="G281" s="199">
        <v>20.91</v>
      </c>
      <c r="H281" s="213" t="s">
        <v>657</v>
      </c>
      <c r="I281" s="193" t="str">
        <f t="shared" si="1"/>
        <v/>
      </c>
      <c r="J281" s="193" t="str">
        <f t="shared" si="2"/>
        <v>Vanguard Intermediate-Term Treasury ETF</v>
      </c>
      <c r="K281" s="126">
        <f t="shared" si="3"/>
        <v>0</v>
      </c>
      <c r="L281" s="126">
        <f t="shared" si="4"/>
        <v>-1817.48</v>
      </c>
      <c r="M281" s="195" t="str">
        <f>IF(AND($N281&lt;&gt;"",$O281&lt;&gt;0),MAXIFS(Investment!$L:$L,Investment!$D:$D,$N281),"")</f>
        <v/>
      </c>
      <c r="N281" s="193"/>
      <c r="O281" s="126"/>
      <c r="P281" s="207"/>
    </row>
    <row r="282">
      <c r="A282" s="7">
        <v>42950.0</v>
      </c>
      <c r="B282" s="10" t="s">
        <v>367</v>
      </c>
      <c r="C282" s="212" t="s">
        <v>368</v>
      </c>
      <c r="D282" s="10" t="s">
        <v>369</v>
      </c>
      <c r="E282" s="10">
        <v>67.0</v>
      </c>
      <c r="F282" s="145">
        <v>7.1</v>
      </c>
      <c r="G282" s="35">
        <v>-475.7</v>
      </c>
      <c r="H282" s="219" t="s">
        <v>658</v>
      </c>
      <c r="I282" s="193">
        <f t="shared" si="1"/>
        <v>-9.246</v>
      </c>
      <c r="J282" s="193" t="str">
        <f t="shared" si="2"/>
        <v>ETFS All Commodities</v>
      </c>
      <c r="K282" s="126">
        <f t="shared" si="3"/>
        <v>8201</v>
      </c>
      <c r="L282" s="126">
        <f t="shared" si="4"/>
        <v>-60467.84</v>
      </c>
      <c r="M282" s="195" t="str">
        <f>IF(AND($N282&lt;&gt;"",$O282&lt;&gt;0),MAXIFS(Investment!$L:$L,Investment!$D:$D,$N282),"")</f>
        <v/>
      </c>
      <c r="N282" s="187"/>
      <c r="P282" s="35"/>
    </row>
    <row r="283">
      <c r="A283" s="7">
        <v>42950.0</v>
      </c>
      <c r="B283" s="10" t="s">
        <v>371</v>
      </c>
      <c r="C283" s="212" t="s">
        <v>372</v>
      </c>
      <c r="D283" s="10" t="s">
        <v>369</v>
      </c>
      <c r="E283" s="10">
        <v>45.0</v>
      </c>
      <c r="F283" s="145">
        <v>39.632</v>
      </c>
      <c r="G283" s="35">
        <v>-1783.44</v>
      </c>
      <c r="H283" s="219" t="s">
        <v>659</v>
      </c>
      <c r="I283" s="193">
        <f t="shared" si="1"/>
        <v>99.72</v>
      </c>
      <c r="J283" s="193" t="str">
        <f t="shared" si="2"/>
        <v>Vanguard S&amp;P 500 UCITS ETF</v>
      </c>
      <c r="K283" s="126">
        <f t="shared" si="3"/>
        <v>5439</v>
      </c>
      <c r="L283" s="126">
        <f t="shared" si="4"/>
        <v>-238297.57</v>
      </c>
      <c r="M283" s="195" t="str">
        <f>IF(AND($N283&lt;&gt;"",$O283&lt;&gt;0),MAXIFS(Investment!$L:$L,Investment!$D:$D,$N283),"")</f>
        <v/>
      </c>
      <c r="N283" s="187"/>
      <c r="P283" s="35"/>
    </row>
    <row r="284">
      <c r="A284" s="7">
        <v>42949.0</v>
      </c>
      <c r="B284" s="197" t="s">
        <v>379</v>
      </c>
      <c r="C284" s="192" t="s">
        <v>534</v>
      </c>
      <c r="D284" s="198" t="s">
        <v>362</v>
      </c>
      <c r="E284" s="198"/>
      <c r="F284" s="145"/>
      <c r="G284" s="199">
        <v>-0.8</v>
      </c>
      <c r="H284" s="213" t="s">
        <v>652</v>
      </c>
      <c r="I284" s="193" t="str">
        <f t="shared" si="1"/>
        <v/>
      </c>
      <c r="J284" s="193" t="str">
        <f t="shared" si="2"/>
        <v>Vanguard Intermediate-Term Treasury ETF</v>
      </c>
      <c r="K284" s="126">
        <f t="shared" si="3"/>
        <v>0</v>
      </c>
      <c r="L284" s="126">
        <f t="shared" si="4"/>
        <v>-1817.48</v>
      </c>
      <c r="M284" s="195" t="str">
        <f>IF(AND($N284&lt;&gt;"",$O284&lt;&gt;0),MAXIFS(Investment!$L:$L,Investment!$D:$D,$N284),"")</f>
        <v/>
      </c>
      <c r="N284" s="193"/>
      <c r="O284" s="126"/>
      <c r="P284" s="207"/>
    </row>
    <row r="285">
      <c r="A285" s="7">
        <v>42949.0</v>
      </c>
      <c r="B285" s="197"/>
      <c r="C285" s="192"/>
      <c r="D285" s="198" t="s">
        <v>362</v>
      </c>
      <c r="E285" s="198"/>
      <c r="F285" s="145"/>
      <c r="G285" s="199">
        <v>-5.0</v>
      </c>
      <c r="H285" s="213" t="s">
        <v>660</v>
      </c>
      <c r="I285" s="193" t="str">
        <f t="shared" si="1"/>
        <v/>
      </c>
      <c r="J285" s="193" t="str">
        <f t="shared" si="2"/>
        <v/>
      </c>
      <c r="K285" s="126" t="str">
        <f t="shared" si="3"/>
        <v/>
      </c>
      <c r="L285" s="126" t="str">
        <f t="shared" si="4"/>
        <v/>
      </c>
      <c r="M285" s="195" t="str">
        <f>IF(AND($N285&lt;&gt;"",$O285&lt;&gt;0),MAXIFS(Investment!$L:$L,Investment!$D:$D,$N285),"")</f>
        <v/>
      </c>
      <c r="N285" s="193"/>
      <c r="O285" s="126"/>
      <c r="P285" s="207"/>
    </row>
    <row r="286">
      <c r="A286" s="7">
        <v>42949.0</v>
      </c>
      <c r="B286" s="197"/>
      <c r="C286" s="192"/>
      <c r="D286" s="198" t="s">
        <v>362</v>
      </c>
      <c r="E286" s="198"/>
      <c r="F286" s="145"/>
      <c r="G286" s="199">
        <v>-66.68</v>
      </c>
      <c r="H286" s="213" t="s">
        <v>661</v>
      </c>
      <c r="I286" s="193" t="str">
        <f t="shared" si="1"/>
        <v/>
      </c>
      <c r="J286" s="193" t="str">
        <f t="shared" si="2"/>
        <v/>
      </c>
      <c r="K286" s="126" t="str">
        <f t="shared" si="3"/>
        <v/>
      </c>
      <c r="L286" s="126" t="str">
        <f t="shared" si="4"/>
        <v/>
      </c>
      <c r="M286" s="195" t="str">
        <f>IF(AND($N286&lt;&gt;"",$O286&lt;&gt;0),MAXIFS(Investment!$L:$L,Investment!$D:$D,$N286),"")</f>
        <v/>
      </c>
      <c r="N286" s="193"/>
      <c r="O286" s="126"/>
      <c r="P286" s="207"/>
    </row>
    <row r="287">
      <c r="A287" s="7">
        <v>42949.0</v>
      </c>
      <c r="B287" s="10" t="s">
        <v>374</v>
      </c>
      <c r="C287" s="212" t="s">
        <v>472</v>
      </c>
      <c r="D287" s="10" t="s">
        <v>369</v>
      </c>
      <c r="E287" s="10">
        <v>31.0</v>
      </c>
      <c r="F287" s="145">
        <v>99.37</v>
      </c>
      <c r="G287" s="35">
        <v>-3080.45</v>
      </c>
      <c r="H287" s="219" t="s">
        <v>662</v>
      </c>
      <c r="I287" s="193">
        <f t="shared" si="1"/>
        <v>-3080.45</v>
      </c>
      <c r="J287" s="193" t="str">
        <f t="shared" si="2"/>
        <v>Vanguard Extended Duration Treasury ETF</v>
      </c>
      <c r="K287" s="126">
        <f t="shared" si="3"/>
        <v>0</v>
      </c>
      <c r="L287" s="126">
        <f t="shared" si="4"/>
        <v>-4941.36</v>
      </c>
      <c r="M287" s="195" t="str">
        <f>IF(AND($N287&lt;&gt;"",$O287&lt;&gt;0),MAXIFS(Investment!$L:$L,Investment!$D:$D,$N287),"")</f>
        <v/>
      </c>
      <c r="N287" s="187"/>
      <c r="P287" s="35"/>
    </row>
    <row r="288">
      <c r="A288" s="7">
        <v>42949.0</v>
      </c>
      <c r="B288" s="10" t="s">
        <v>379</v>
      </c>
      <c r="C288" s="212" t="s">
        <v>534</v>
      </c>
      <c r="D288" s="10" t="s">
        <v>369</v>
      </c>
      <c r="E288" s="10">
        <v>21.0</v>
      </c>
      <c r="F288" s="145">
        <v>54.7</v>
      </c>
      <c r="G288" s="35">
        <v>-1148.78</v>
      </c>
      <c r="H288" s="219" t="s">
        <v>663</v>
      </c>
      <c r="I288" s="193">
        <f t="shared" si="1"/>
        <v>-1148.78</v>
      </c>
      <c r="J288" s="193" t="str">
        <f t="shared" si="2"/>
        <v>Vanguard Intermediate-Term Treasury ETF</v>
      </c>
      <c r="K288" s="126">
        <f t="shared" si="3"/>
        <v>0</v>
      </c>
      <c r="L288" s="126">
        <f t="shared" si="4"/>
        <v>-1817.48</v>
      </c>
      <c r="M288" s="195" t="str">
        <f>IF(AND($N288&lt;&gt;"",$O288&lt;&gt;0),MAXIFS(Investment!$L:$L,Investment!$D:$D,$N288),"")</f>
        <v/>
      </c>
      <c r="N288" s="187"/>
      <c r="P288" s="35"/>
    </row>
    <row r="289">
      <c r="A289" s="7">
        <v>42949.0</v>
      </c>
      <c r="B289" s="10" t="s">
        <v>385</v>
      </c>
      <c r="C289" s="212" t="s">
        <v>547</v>
      </c>
      <c r="D289" s="10" t="s">
        <v>369</v>
      </c>
      <c r="E289" s="10">
        <v>41.0</v>
      </c>
      <c r="F289" s="145">
        <v>10.32</v>
      </c>
      <c r="G289" s="35">
        <v>-422.98</v>
      </c>
      <c r="H289" s="219" t="s">
        <v>664</v>
      </c>
      <c r="I289" s="193">
        <f t="shared" si="1"/>
        <v>-422.98</v>
      </c>
      <c r="J289" s="193" t="str">
        <f t="shared" si="2"/>
        <v>iShares Gold Trust</v>
      </c>
      <c r="K289" s="126">
        <f t="shared" si="3"/>
        <v>0</v>
      </c>
      <c r="L289" s="126">
        <f t="shared" si="4"/>
        <v>140.23</v>
      </c>
      <c r="M289" s="195" t="str">
        <f>IF(AND($N289&lt;&gt;"",$O289&lt;&gt;0),MAXIFS(Investment!$L:$L,Investment!$D:$D,$N289),"")</f>
        <v/>
      </c>
      <c r="N289" s="187"/>
      <c r="P289" s="35"/>
    </row>
    <row r="290" ht="1.5" customHeight="1">
      <c r="A290" s="7">
        <v>42928.0</v>
      </c>
      <c r="B290" s="197" t="s">
        <v>379</v>
      </c>
      <c r="C290" s="192" t="s">
        <v>665</v>
      </c>
      <c r="D290" s="198" t="s">
        <v>376</v>
      </c>
      <c r="E290" s="198"/>
      <c r="F290" s="145"/>
      <c r="G290" s="199">
        <v>-2.54</v>
      </c>
      <c r="H290" s="213" t="s">
        <v>666</v>
      </c>
      <c r="I290" s="193" t="str">
        <f t="shared" si="1"/>
        <v/>
      </c>
      <c r="J290" s="193" t="str">
        <f t="shared" si="2"/>
        <v>iShares 7-10 Year Treasury Bond ETF</v>
      </c>
      <c r="K290" s="126">
        <f t="shared" si="3"/>
        <v>0</v>
      </c>
      <c r="L290" s="126">
        <f t="shared" si="4"/>
        <v>-345.82</v>
      </c>
      <c r="M290" s="195" t="str">
        <f>IF(AND($N290&lt;&gt;"",$O290&lt;&gt;0),MAXIFS(Investment!$L:$L,Investment!$D:$D,$N290),"")</f>
        <v/>
      </c>
      <c r="N290" s="193"/>
      <c r="O290" s="126"/>
      <c r="P290" s="207"/>
    </row>
    <row r="291" ht="1.5" customHeight="1">
      <c r="A291" s="7">
        <v>42927.0</v>
      </c>
      <c r="B291" s="197" t="s">
        <v>379</v>
      </c>
      <c r="C291" s="192" t="s">
        <v>665</v>
      </c>
      <c r="D291" s="198" t="s">
        <v>376</v>
      </c>
      <c r="E291" s="198"/>
      <c r="F291" s="145"/>
      <c r="G291" s="199">
        <v>19.77</v>
      </c>
      <c r="H291" s="213" t="s">
        <v>667</v>
      </c>
      <c r="I291" s="193" t="str">
        <f t="shared" si="1"/>
        <v/>
      </c>
      <c r="J291" s="193" t="str">
        <f t="shared" si="2"/>
        <v>iShares 7-10 Year Treasury Bond ETF</v>
      </c>
      <c r="K291" s="126">
        <f t="shared" si="3"/>
        <v>0</v>
      </c>
      <c r="L291" s="126">
        <f t="shared" si="4"/>
        <v>-345.82</v>
      </c>
      <c r="M291" s="195" t="str">
        <f>IF(AND($N291&lt;&gt;"",$O291&lt;&gt;0),MAXIFS(Investment!$L:$L,Investment!$D:$D,$N291),"")</f>
        <v/>
      </c>
      <c r="N291" s="193"/>
      <c r="O291" s="126"/>
      <c r="P291" s="207"/>
    </row>
    <row r="292" ht="1.5" customHeight="1">
      <c r="A292" s="7">
        <v>42923.0</v>
      </c>
      <c r="B292" s="197" t="s">
        <v>374</v>
      </c>
      <c r="C292" s="192" t="s">
        <v>472</v>
      </c>
      <c r="D292" s="198" t="s">
        <v>376</v>
      </c>
      <c r="E292" s="198"/>
      <c r="F292" s="145"/>
      <c r="G292" s="199">
        <v>-31.95</v>
      </c>
      <c r="H292" s="213" t="s">
        <v>668</v>
      </c>
      <c r="I292" s="193" t="str">
        <f t="shared" si="1"/>
        <v/>
      </c>
      <c r="J292" s="193" t="str">
        <f t="shared" si="2"/>
        <v>Vanguard Extended Duration Treasury ETF</v>
      </c>
      <c r="K292" s="126">
        <f t="shared" si="3"/>
        <v>0</v>
      </c>
      <c r="L292" s="126">
        <f t="shared" si="4"/>
        <v>-4941.36</v>
      </c>
      <c r="M292" s="195" t="str">
        <f>IF(AND($N292&lt;&gt;"",$O292&lt;&gt;0),MAXIFS(Investment!$L:$L,Investment!$D:$D,$N292),"")</f>
        <v/>
      </c>
      <c r="N292" s="193"/>
      <c r="O292" s="126"/>
      <c r="P292" s="207"/>
    </row>
    <row r="293">
      <c r="A293" s="7">
        <v>42922.0</v>
      </c>
      <c r="B293" s="197" t="s">
        <v>374</v>
      </c>
      <c r="C293" s="192" t="s">
        <v>472</v>
      </c>
      <c r="D293" s="198" t="s">
        <v>376</v>
      </c>
      <c r="E293" s="198"/>
      <c r="F293" s="145"/>
      <c r="G293" s="199">
        <v>255.04</v>
      </c>
      <c r="H293" s="213" t="s">
        <v>669</v>
      </c>
      <c r="I293" s="193" t="str">
        <f t="shared" si="1"/>
        <v/>
      </c>
      <c r="J293" s="193" t="str">
        <f t="shared" si="2"/>
        <v>Vanguard Extended Duration Treasury ETF</v>
      </c>
      <c r="K293" s="126">
        <f t="shared" si="3"/>
        <v>0</v>
      </c>
      <c r="L293" s="126">
        <f t="shared" si="4"/>
        <v>-4941.36</v>
      </c>
      <c r="M293" s="195" t="str">
        <f>IF(AND($N293&lt;&gt;"",$O293&lt;&gt;0),MAXIFS(Investment!$L:$L,Investment!$D:$D,$N293),"")</f>
        <v/>
      </c>
      <c r="N293" s="193"/>
      <c r="O293" s="126"/>
      <c r="P293" s="207"/>
    </row>
    <row r="294" ht="1.5" customHeight="1">
      <c r="A294" s="7">
        <v>42921.0</v>
      </c>
      <c r="B294" s="197" t="s">
        <v>379</v>
      </c>
      <c r="C294" s="192" t="s">
        <v>534</v>
      </c>
      <c r="D294" s="198" t="s">
        <v>369</v>
      </c>
      <c r="E294" s="198">
        <v>286.0</v>
      </c>
      <c r="F294" s="145">
        <v>56.941</v>
      </c>
      <c r="G294" s="199">
        <v>-16285.26</v>
      </c>
      <c r="H294" s="213" t="s">
        <v>670</v>
      </c>
      <c r="I294" s="193">
        <f t="shared" si="1"/>
        <v>-16285.26</v>
      </c>
      <c r="J294" s="193" t="str">
        <f t="shared" si="2"/>
        <v>Vanguard Intermediate-Term Treasury ETF</v>
      </c>
      <c r="K294" s="126">
        <f t="shared" si="3"/>
        <v>0</v>
      </c>
      <c r="L294" s="126">
        <f t="shared" si="4"/>
        <v>-1817.48</v>
      </c>
      <c r="M294" s="195" t="str">
        <f>IF(AND($N294&lt;&gt;"",$O294&lt;&gt;0),MAXIFS(Investment!$L:$L,Investment!$D:$D,$N294),"")</f>
        <v/>
      </c>
      <c r="N294" s="193"/>
      <c r="O294" s="126"/>
      <c r="P294" s="207"/>
    </row>
    <row r="295" ht="1.5" customHeight="1">
      <c r="A295" s="7">
        <v>42921.0</v>
      </c>
      <c r="B295" s="10" t="s">
        <v>379</v>
      </c>
      <c r="C295" s="212" t="s">
        <v>534</v>
      </c>
      <c r="D295" s="10" t="s">
        <v>362</v>
      </c>
      <c r="E295" s="138"/>
      <c r="F295" s="145"/>
      <c r="G295" s="35">
        <v>-4.77</v>
      </c>
      <c r="H295" s="219" t="s">
        <v>671</v>
      </c>
      <c r="I295" s="193" t="str">
        <f t="shared" si="1"/>
        <v/>
      </c>
      <c r="J295" s="193" t="str">
        <f t="shared" si="2"/>
        <v>Vanguard Intermediate-Term Treasury ETF</v>
      </c>
      <c r="K295" s="126">
        <f t="shared" si="3"/>
        <v>0</v>
      </c>
      <c r="L295" s="126">
        <f t="shared" si="4"/>
        <v>-1817.48</v>
      </c>
      <c r="M295" s="195" t="str">
        <f>IF(AND($N295&lt;&gt;"",$O295&lt;&gt;0),MAXIFS(Investment!$L:$L,Investment!$D:$D,$N295),"")</f>
        <v/>
      </c>
      <c r="N295" s="187"/>
      <c r="P295" s="35"/>
    </row>
    <row r="296" ht="1.5" customHeight="1">
      <c r="A296" s="7">
        <v>42920.0</v>
      </c>
      <c r="B296" s="197"/>
      <c r="C296" s="192"/>
      <c r="D296" s="198" t="s">
        <v>362</v>
      </c>
      <c r="E296" s="198"/>
      <c r="F296" s="145"/>
      <c r="G296" s="199">
        <v>-55.33</v>
      </c>
      <c r="H296" s="213" t="s">
        <v>672</v>
      </c>
      <c r="I296" s="193" t="str">
        <f t="shared" si="1"/>
        <v/>
      </c>
      <c r="J296" s="193" t="str">
        <f t="shared" si="2"/>
        <v/>
      </c>
      <c r="K296" s="126" t="str">
        <f t="shared" si="3"/>
        <v/>
      </c>
      <c r="L296" s="126" t="str">
        <f t="shared" si="4"/>
        <v/>
      </c>
      <c r="M296" s="195" t="str">
        <f>IF(AND($N296&lt;&gt;"",$O296&lt;&gt;0),MAXIFS(Investment!$L:$L,Investment!$D:$D,$N296),"")</f>
        <v/>
      </c>
      <c r="N296" s="193"/>
      <c r="O296" s="126"/>
      <c r="P296" s="207"/>
    </row>
    <row r="297">
      <c r="A297" s="7">
        <v>42920.0</v>
      </c>
      <c r="B297" s="10" t="s">
        <v>367</v>
      </c>
      <c r="C297" s="212" t="s">
        <v>368</v>
      </c>
      <c r="D297" s="10" t="s">
        <v>369</v>
      </c>
      <c r="E297" s="32">
        <v>1096.0</v>
      </c>
      <c r="F297" s="145">
        <v>7.5</v>
      </c>
      <c r="G297" s="35">
        <v>-8220.0</v>
      </c>
      <c r="H297" s="219" t="s">
        <v>673</v>
      </c>
      <c r="I297" s="193">
        <f t="shared" si="1"/>
        <v>-589.648</v>
      </c>
      <c r="J297" s="193" t="str">
        <f t="shared" si="2"/>
        <v>ETFS All Commodities</v>
      </c>
      <c r="K297" s="126">
        <f t="shared" si="3"/>
        <v>8201</v>
      </c>
      <c r="L297" s="126">
        <f t="shared" si="4"/>
        <v>-60467.84</v>
      </c>
      <c r="M297" s="195" t="str">
        <f>IF(AND($N297&lt;&gt;"",$O297&lt;&gt;0),MAXIFS(Investment!$L:$L,Investment!$D:$D,$N297),"")</f>
        <v/>
      </c>
      <c r="N297" s="187"/>
      <c r="P297" s="35"/>
    </row>
    <row r="298">
      <c r="A298" s="7">
        <v>42919.0</v>
      </c>
      <c r="B298" s="197" t="s">
        <v>371</v>
      </c>
      <c r="C298" s="192" t="s">
        <v>372</v>
      </c>
      <c r="D298" s="198" t="s">
        <v>369</v>
      </c>
      <c r="E298" s="198">
        <v>804.0</v>
      </c>
      <c r="F298" s="145">
        <v>40.443</v>
      </c>
      <c r="G298" s="199">
        <v>-32516.18</v>
      </c>
      <c r="H298" s="213" t="s">
        <v>674</v>
      </c>
      <c r="I298" s="193">
        <f t="shared" si="1"/>
        <v>1129.612</v>
      </c>
      <c r="J298" s="193" t="str">
        <f t="shared" si="2"/>
        <v>Vanguard S&amp;P 500 UCITS ETF</v>
      </c>
      <c r="K298" s="126">
        <f t="shared" si="3"/>
        <v>5439</v>
      </c>
      <c r="L298" s="126">
        <f t="shared" si="4"/>
        <v>-238297.57</v>
      </c>
      <c r="M298" s="195" t="str">
        <f>IF(AND($N298&lt;&gt;"",$O298&lt;&gt;0),MAXIFS(Investment!$L:$L,Investment!$D:$D,$N298),"")</f>
        <v/>
      </c>
      <c r="N298" s="193"/>
      <c r="O298" s="126"/>
      <c r="P298" s="207"/>
    </row>
    <row r="299">
      <c r="A299" s="7">
        <v>42919.0</v>
      </c>
      <c r="B299" s="10" t="s">
        <v>367</v>
      </c>
      <c r="C299" s="212" t="s">
        <v>675</v>
      </c>
      <c r="D299" s="10" t="s">
        <v>381</v>
      </c>
      <c r="E299" s="10">
        <v>-390.0</v>
      </c>
      <c r="F299" s="145">
        <v>18.19</v>
      </c>
      <c r="G299" s="35">
        <v>7094.1</v>
      </c>
      <c r="H299" s="219" t="s">
        <v>676</v>
      </c>
      <c r="I299" s="193">
        <f t="shared" si="1"/>
        <v>7094.1</v>
      </c>
      <c r="J299" s="193" t="str">
        <f t="shared" si="2"/>
        <v>iShares Diversified Commodity Swap UCITS ETF DE</v>
      </c>
      <c r="K299" s="126">
        <f t="shared" si="3"/>
        <v>0</v>
      </c>
      <c r="L299" s="126">
        <f t="shared" si="4"/>
        <v>-296.42</v>
      </c>
      <c r="M299" s="195" t="str">
        <f>IF(AND($N299&lt;&gt;"",$O299&lt;&gt;0),MAXIFS(Investment!$L:$L,Investment!$D:$D,$N299),"")</f>
        <v/>
      </c>
      <c r="N299" s="187"/>
      <c r="P299" s="35"/>
    </row>
    <row r="300">
      <c r="A300" s="7">
        <v>42919.0</v>
      </c>
      <c r="B300" s="10" t="s">
        <v>379</v>
      </c>
      <c r="C300" s="212" t="s">
        <v>665</v>
      </c>
      <c r="D300" s="10" t="s">
        <v>381</v>
      </c>
      <c r="E300" s="10">
        <v>-146.0</v>
      </c>
      <c r="F300" s="145">
        <v>93.62</v>
      </c>
      <c r="G300" s="35">
        <v>13669.24</v>
      </c>
      <c r="H300" s="187" t="s">
        <v>677</v>
      </c>
      <c r="I300" s="193">
        <f t="shared" si="1"/>
        <v>13669.24</v>
      </c>
      <c r="J300" s="193" t="str">
        <f t="shared" si="2"/>
        <v>iShares 7-10 Year Treasury Bond ETF</v>
      </c>
      <c r="K300" s="126">
        <f t="shared" si="3"/>
        <v>0</v>
      </c>
      <c r="L300" s="126">
        <f t="shared" si="4"/>
        <v>-345.82</v>
      </c>
      <c r="M300" s="195" t="str">
        <f>IF(AND($N300&lt;&gt;"",$O300&lt;&gt;0),MAXIFS(Investment!$L:$L,Investment!$D:$D,$N300),"")</f>
        <v/>
      </c>
      <c r="N300" s="187"/>
      <c r="P300" s="35"/>
    </row>
    <row r="301">
      <c r="A301" s="7">
        <v>42919.0</v>
      </c>
      <c r="B301" s="10" t="s">
        <v>385</v>
      </c>
      <c r="C301" s="212" t="s">
        <v>547</v>
      </c>
      <c r="D301" s="10" t="s">
        <v>369</v>
      </c>
      <c r="E301" s="10">
        <v>122.0</v>
      </c>
      <c r="F301" s="145">
        <v>10.38</v>
      </c>
      <c r="G301" s="35">
        <v>-1266.54</v>
      </c>
      <c r="H301" s="187" t="s">
        <v>678</v>
      </c>
      <c r="I301" s="193">
        <f t="shared" si="1"/>
        <v>-1266.54</v>
      </c>
      <c r="J301" s="193" t="str">
        <f t="shared" si="2"/>
        <v>iShares Gold Trust</v>
      </c>
      <c r="K301" s="126">
        <f t="shared" si="3"/>
        <v>0</v>
      </c>
      <c r="L301" s="126">
        <f t="shared" si="4"/>
        <v>140.23</v>
      </c>
      <c r="M301" s="195" t="str">
        <f>IF(AND($N301&lt;&gt;"",$O301&lt;&gt;0),MAXIFS(Investment!$L:$L,Investment!$D:$D,$N301),"")</f>
        <v/>
      </c>
      <c r="N301" s="187"/>
      <c r="P301" s="35"/>
    </row>
    <row r="302">
      <c r="A302" s="7">
        <v>42919.0</v>
      </c>
      <c r="B302" s="10" t="s">
        <v>371</v>
      </c>
      <c r="C302" s="212" t="s">
        <v>679</v>
      </c>
      <c r="D302" s="10" t="s">
        <v>381</v>
      </c>
      <c r="E302" s="10">
        <v>-251.0</v>
      </c>
      <c r="F302" s="145">
        <v>109.93</v>
      </c>
      <c r="G302" s="35">
        <v>27592.74</v>
      </c>
      <c r="H302" s="187" t="s">
        <v>680</v>
      </c>
      <c r="I302" s="193">
        <f t="shared" si="1"/>
        <v>27592.74</v>
      </c>
      <c r="J302" s="193" t="str">
        <f t="shared" si="2"/>
        <v>Vanguard Total Stock Market ETF</v>
      </c>
      <c r="K302" s="126">
        <f t="shared" si="3"/>
        <v>0</v>
      </c>
      <c r="L302" s="126">
        <f t="shared" si="4"/>
        <v>1880.34</v>
      </c>
      <c r="M302" s="195" t="str">
        <f>IF(AND($N302&lt;&gt;"",$O302&lt;&gt;0),MAXIFS(Investment!$L:$L,Investment!$D:$D,$N302),"")</f>
        <v/>
      </c>
      <c r="N302" s="187"/>
      <c r="P302" s="35"/>
    </row>
    <row r="303">
      <c r="A303" s="7">
        <v>42919.0</v>
      </c>
      <c r="B303" s="10" t="s">
        <v>374</v>
      </c>
      <c r="C303" s="212" t="s">
        <v>472</v>
      </c>
      <c r="D303" s="10" t="s">
        <v>369</v>
      </c>
      <c r="E303" s="10">
        <v>67.0</v>
      </c>
      <c r="F303" s="145">
        <v>103.88</v>
      </c>
      <c r="G303" s="35">
        <v>-6959.73</v>
      </c>
      <c r="H303" s="187" t="s">
        <v>681</v>
      </c>
      <c r="I303" s="193">
        <f t="shared" si="1"/>
        <v>-6959.73</v>
      </c>
      <c r="J303" s="193" t="str">
        <f t="shared" si="2"/>
        <v>Vanguard Extended Duration Treasury ETF</v>
      </c>
      <c r="K303" s="126">
        <f t="shared" si="3"/>
        <v>0</v>
      </c>
      <c r="L303" s="126">
        <f t="shared" si="4"/>
        <v>-4941.36</v>
      </c>
      <c r="M303" s="195" t="str">
        <f>IF(AND($N303&lt;&gt;"",$O303&lt;&gt;0),MAXIFS(Investment!$L:$L,Investment!$D:$D,$N303),"")</f>
        <v/>
      </c>
      <c r="N303" s="187"/>
      <c r="P303" s="35"/>
    </row>
    <row r="304">
      <c r="A304" s="7">
        <v>42915.0</v>
      </c>
      <c r="B304" s="197" t="s">
        <v>371</v>
      </c>
      <c r="C304" s="192" t="s">
        <v>679</v>
      </c>
      <c r="D304" s="198" t="s">
        <v>376</v>
      </c>
      <c r="E304" s="198"/>
      <c r="F304" s="145"/>
      <c r="G304" s="199">
        <v>-14.95</v>
      </c>
      <c r="H304" s="192" t="s">
        <v>682</v>
      </c>
      <c r="I304" s="193" t="str">
        <f t="shared" si="1"/>
        <v/>
      </c>
      <c r="J304" s="193" t="str">
        <f t="shared" si="2"/>
        <v>Vanguard Total Stock Market ETF</v>
      </c>
      <c r="K304" s="126">
        <f t="shared" si="3"/>
        <v>0</v>
      </c>
      <c r="L304" s="126">
        <f t="shared" si="4"/>
        <v>1880.34</v>
      </c>
      <c r="M304" s="195" t="str">
        <f>IF(AND($N304&lt;&gt;"",$O304&lt;&gt;0),MAXIFS(Investment!$L:$L,Investment!$D:$D,$N304),"")</f>
        <v/>
      </c>
      <c r="N304" s="193"/>
      <c r="O304" s="126"/>
      <c r="P304" s="207"/>
    </row>
    <row r="305">
      <c r="A305" s="7">
        <v>42914.0</v>
      </c>
      <c r="B305" s="197" t="s">
        <v>371</v>
      </c>
      <c r="C305" s="192" t="s">
        <v>679</v>
      </c>
      <c r="D305" s="198" t="s">
        <v>376</v>
      </c>
      <c r="E305" s="198"/>
      <c r="F305" s="145"/>
      <c r="G305" s="199">
        <v>122.68</v>
      </c>
      <c r="H305" s="192" t="s">
        <v>683</v>
      </c>
      <c r="I305" s="193" t="str">
        <f t="shared" si="1"/>
        <v/>
      </c>
      <c r="J305" s="193" t="str">
        <f t="shared" si="2"/>
        <v>Vanguard Total Stock Market ETF</v>
      </c>
      <c r="K305" s="126">
        <f t="shared" si="3"/>
        <v>0</v>
      </c>
      <c r="L305" s="126">
        <f t="shared" si="4"/>
        <v>1880.34</v>
      </c>
      <c r="M305" s="195" t="str">
        <f>IF(AND($N305&lt;&gt;"",$O305&lt;&gt;0),MAXIFS(Investment!$L:$L,Investment!$D:$D,$N305),"")</f>
        <v/>
      </c>
      <c r="N305" s="193"/>
      <c r="O305" s="126"/>
      <c r="P305" s="207"/>
    </row>
    <row r="306">
      <c r="A306" s="7">
        <v>42901.0</v>
      </c>
      <c r="B306" s="10" t="s">
        <v>367</v>
      </c>
      <c r="C306" s="212" t="s">
        <v>675</v>
      </c>
      <c r="D306" s="10" t="s">
        <v>369</v>
      </c>
      <c r="E306" s="10">
        <v>111.0</v>
      </c>
      <c r="F306" s="145">
        <v>18.09</v>
      </c>
      <c r="G306" s="35">
        <v>-2007.99</v>
      </c>
      <c r="H306" s="187" t="s">
        <v>684</v>
      </c>
      <c r="I306" s="193">
        <f t="shared" si="1"/>
        <v>-2007.99</v>
      </c>
      <c r="J306" s="193" t="str">
        <f t="shared" si="2"/>
        <v>iShares Diversified Commodity Swap UCITS ETF DE</v>
      </c>
      <c r="K306" s="126">
        <f t="shared" si="3"/>
        <v>0</v>
      </c>
      <c r="L306" s="126">
        <f t="shared" si="4"/>
        <v>-296.42</v>
      </c>
      <c r="M306" s="195" t="str">
        <f>IF(AND($N306&lt;&gt;"",$O306&lt;&gt;0),MAXIFS(Investment!$L:$L,Investment!$D:$D,$N306),"")</f>
        <v/>
      </c>
      <c r="N306" s="187"/>
      <c r="P306" s="35"/>
    </row>
    <row r="307">
      <c r="A307" s="7">
        <v>42901.0</v>
      </c>
      <c r="B307" s="10" t="s">
        <v>371</v>
      </c>
      <c r="C307" s="212" t="s">
        <v>679</v>
      </c>
      <c r="D307" s="10" t="s">
        <v>369</v>
      </c>
      <c r="E307" s="10">
        <v>60.0</v>
      </c>
      <c r="F307" s="145">
        <v>112.02</v>
      </c>
      <c r="G307" s="35">
        <v>-6721.09</v>
      </c>
      <c r="H307" s="187" t="s">
        <v>685</v>
      </c>
      <c r="I307" s="193">
        <f t="shared" si="1"/>
        <v>-6721.09</v>
      </c>
      <c r="J307" s="193" t="str">
        <f t="shared" si="2"/>
        <v>Vanguard Total Stock Market ETF</v>
      </c>
      <c r="K307" s="126">
        <f t="shared" si="3"/>
        <v>0</v>
      </c>
      <c r="L307" s="126">
        <f t="shared" si="4"/>
        <v>1880.34</v>
      </c>
      <c r="M307" s="195" t="str">
        <f>IF(AND($N307&lt;&gt;"",$O307&lt;&gt;0),MAXIFS(Investment!$L:$L,Investment!$D:$D,$N307),"")</f>
        <v/>
      </c>
      <c r="N307" s="187"/>
      <c r="P307" s="35"/>
    </row>
    <row r="308">
      <c r="A308" s="7">
        <v>42901.0</v>
      </c>
      <c r="B308" s="10" t="s">
        <v>379</v>
      </c>
      <c r="C308" s="212" t="s">
        <v>665</v>
      </c>
      <c r="D308" s="10" t="s">
        <v>369</v>
      </c>
      <c r="E308" s="10">
        <v>36.0</v>
      </c>
      <c r="F308" s="145">
        <v>96.68</v>
      </c>
      <c r="G308" s="35">
        <v>-3480.61</v>
      </c>
      <c r="H308" s="187" t="s">
        <v>686</v>
      </c>
      <c r="I308" s="193">
        <f t="shared" si="1"/>
        <v>-3480.61</v>
      </c>
      <c r="J308" s="193" t="str">
        <f t="shared" si="2"/>
        <v>iShares 7-10 Year Treasury Bond ETF</v>
      </c>
      <c r="K308" s="126">
        <f t="shared" si="3"/>
        <v>0</v>
      </c>
      <c r="L308" s="126">
        <f t="shared" si="4"/>
        <v>-345.82</v>
      </c>
      <c r="M308" s="195" t="str">
        <f>IF(AND($N308&lt;&gt;"",$O308&lt;&gt;0),MAXIFS(Investment!$L:$L,Investment!$D:$D,$N308),"")</f>
        <v/>
      </c>
      <c r="N308" s="187"/>
      <c r="P308" s="35"/>
    </row>
    <row r="309">
      <c r="A309" s="7">
        <v>42901.0</v>
      </c>
      <c r="B309" s="10" t="s">
        <v>374</v>
      </c>
      <c r="C309" s="212" t="s">
        <v>472</v>
      </c>
      <c r="D309" s="10" t="s">
        <v>369</v>
      </c>
      <c r="E309" s="10">
        <v>66.0</v>
      </c>
      <c r="F309" s="145">
        <v>107.07</v>
      </c>
      <c r="G309" s="35">
        <v>-7066.71</v>
      </c>
      <c r="H309" s="187" t="s">
        <v>687</v>
      </c>
      <c r="I309" s="193">
        <f t="shared" si="1"/>
        <v>-7066.71</v>
      </c>
      <c r="J309" s="193" t="str">
        <f t="shared" si="2"/>
        <v>Vanguard Extended Duration Treasury ETF</v>
      </c>
      <c r="K309" s="126">
        <f t="shared" si="3"/>
        <v>0</v>
      </c>
      <c r="L309" s="126">
        <f t="shared" si="4"/>
        <v>-4941.36</v>
      </c>
      <c r="M309" s="195" t="str">
        <f>IF(AND($N309&lt;&gt;"",$O309&lt;&gt;0),MAXIFS(Investment!$L:$L,Investment!$D:$D,$N309),"")</f>
        <v/>
      </c>
      <c r="N309" s="187"/>
      <c r="P309" s="35"/>
    </row>
    <row r="310">
      <c r="A310" s="7">
        <v>42901.0</v>
      </c>
      <c r="B310" s="10" t="s">
        <v>385</v>
      </c>
      <c r="C310" s="212" t="s">
        <v>547</v>
      </c>
      <c r="D310" s="10" t="s">
        <v>369</v>
      </c>
      <c r="E310" s="10">
        <v>167.0</v>
      </c>
      <c r="F310" s="145">
        <v>10.83</v>
      </c>
      <c r="G310" s="35">
        <v>-1808.18</v>
      </c>
      <c r="H310" s="187" t="s">
        <v>688</v>
      </c>
      <c r="I310" s="193">
        <f t="shared" si="1"/>
        <v>-1808.18</v>
      </c>
      <c r="J310" s="193" t="str">
        <f t="shared" si="2"/>
        <v>iShares Gold Trust</v>
      </c>
      <c r="K310" s="126">
        <f t="shared" si="3"/>
        <v>0</v>
      </c>
      <c r="L310" s="126">
        <f t="shared" si="4"/>
        <v>140.23</v>
      </c>
      <c r="M310" s="195" t="str">
        <f>IF(AND($N310&lt;&gt;"",$O310&lt;&gt;0),MAXIFS(Investment!$L:$L,Investment!$D:$D,$N310),"")</f>
        <v/>
      </c>
      <c r="N310" s="187"/>
      <c r="P310" s="35"/>
    </row>
    <row r="311">
      <c r="A311" s="7">
        <v>42895.0</v>
      </c>
      <c r="B311" s="197" t="s">
        <v>379</v>
      </c>
      <c r="C311" s="192" t="s">
        <v>665</v>
      </c>
      <c r="D311" s="198" t="s">
        <v>376</v>
      </c>
      <c r="E311" s="198"/>
      <c r="F311" s="145"/>
      <c r="G311" s="199">
        <v>-1.66</v>
      </c>
      <c r="H311" s="192" t="s">
        <v>689</v>
      </c>
      <c r="I311" s="193" t="str">
        <f t="shared" si="1"/>
        <v/>
      </c>
      <c r="J311" s="193" t="str">
        <f t="shared" si="2"/>
        <v>iShares 7-10 Year Treasury Bond ETF</v>
      </c>
      <c r="K311" s="126">
        <f t="shared" si="3"/>
        <v>0</v>
      </c>
      <c r="L311" s="126">
        <f t="shared" si="4"/>
        <v>-345.82</v>
      </c>
      <c r="M311" s="195" t="str">
        <f>IF(AND($N311&lt;&gt;"",$O311&lt;&gt;0),MAXIFS(Investment!$L:$L,Investment!$D:$D,$N311),"")</f>
        <v/>
      </c>
      <c r="N311" s="193"/>
      <c r="O311" s="126"/>
      <c r="P311" s="207"/>
    </row>
    <row r="312">
      <c r="A312" s="7">
        <v>42894.0</v>
      </c>
      <c r="B312" s="197" t="s">
        <v>379</v>
      </c>
      <c r="C312" s="192" t="s">
        <v>665</v>
      </c>
      <c r="D312" s="198" t="s">
        <v>376</v>
      </c>
      <c r="E312" s="198"/>
      <c r="F312" s="145"/>
      <c r="G312" s="199">
        <v>15.3</v>
      </c>
      <c r="H312" s="192" t="s">
        <v>690</v>
      </c>
      <c r="I312" s="193" t="str">
        <f t="shared" si="1"/>
        <v/>
      </c>
      <c r="J312" s="193" t="str">
        <f t="shared" si="2"/>
        <v>iShares 7-10 Year Treasury Bond ETF</v>
      </c>
      <c r="K312" s="126">
        <f t="shared" si="3"/>
        <v>0</v>
      </c>
      <c r="L312" s="126">
        <f t="shared" si="4"/>
        <v>-345.82</v>
      </c>
      <c r="M312" s="195" t="str">
        <f>IF(AND($N312&lt;&gt;"",$O312&lt;&gt;0),MAXIFS(Investment!$L:$L,Investment!$D:$D,$N312),"")</f>
        <v/>
      </c>
      <c r="N312" s="193"/>
      <c r="O312" s="126"/>
      <c r="P312" s="207"/>
    </row>
    <row r="313" ht="1.5" customHeight="1">
      <c r="A313" s="7">
        <v>42887.0</v>
      </c>
      <c r="B313" s="197"/>
      <c r="C313" s="192"/>
      <c r="D313" s="198" t="s">
        <v>362</v>
      </c>
      <c r="E313" s="198"/>
      <c r="F313" s="145"/>
      <c r="G313" s="199">
        <v>-5.0</v>
      </c>
      <c r="H313" s="192" t="s">
        <v>660</v>
      </c>
      <c r="I313" s="193" t="str">
        <f t="shared" si="1"/>
        <v/>
      </c>
      <c r="J313" s="193" t="str">
        <f t="shared" si="2"/>
        <v/>
      </c>
      <c r="K313" s="126" t="str">
        <f t="shared" si="3"/>
        <v/>
      </c>
      <c r="L313" s="126" t="str">
        <f t="shared" si="4"/>
        <v/>
      </c>
      <c r="M313" s="195" t="str">
        <f>IF(AND($N313&lt;&gt;"",$O313&lt;&gt;0),MAXIFS(Investment!$L:$L,Investment!$D:$D,$N313),"")</f>
        <v/>
      </c>
      <c r="N313" s="193"/>
      <c r="O313" s="126"/>
      <c r="P313" s="207"/>
    </row>
    <row r="314" ht="1.5" customHeight="1">
      <c r="A314" s="7">
        <v>42887.0</v>
      </c>
      <c r="B314" s="197"/>
      <c r="C314" s="192"/>
      <c r="D314" s="198" t="s">
        <v>362</v>
      </c>
      <c r="E314" s="198"/>
      <c r="F314" s="145"/>
      <c r="G314" s="199">
        <v>-30.68</v>
      </c>
      <c r="H314" s="192" t="s">
        <v>691</v>
      </c>
      <c r="I314" s="193" t="str">
        <f t="shared" si="1"/>
        <v/>
      </c>
      <c r="J314" s="193" t="str">
        <f t="shared" si="2"/>
        <v/>
      </c>
      <c r="K314" s="126" t="str">
        <f t="shared" si="3"/>
        <v/>
      </c>
      <c r="L314" s="126" t="str">
        <f t="shared" si="4"/>
        <v/>
      </c>
      <c r="M314" s="195" t="str">
        <f>IF(AND($N314&lt;&gt;"",$O314&lt;&gt;0),MAXIFS(Investment!$L:$L,Investment!$D:$D,$N314),"")</f>
        <v/>
      </c>
      <c r="N314" s="193"/>
      <c r="O314" s="126"/>
      <c r="P314" s="207"/>
    </row>
    <row r="315" ht="1.5" customHeight="1">
      <c r="A315" s="7">
        <v>42871.0</v>
      </c>
      <c r="B315" s="10" t="s">
        <v>374</v>
      </c>
      <c r="C315" s="212" t="s">
        <v>472</v>
      </c>
      <c r="D315" s="10" t="s">
        <v>369</v>
      </c>
      <c r="E315" s="10">
        <v>10.0</v>
      </c>
      <c r="F315" s="145">
        <v>101.51</v>
      </c>
      <c r="G315" s="35">
        <v>-1015.08</v>
      </c>
      <c r="H315" s="187" t="s">
        <v>692</v>
      </c>
      <c r="I315" s="193">
        <f t="shared" si="1"/>
        <v>-1015.08</v>
      </c>
      <c r="J315" s="193" t="str">
        <f t="shared" si="2"/>
        <v>Vanguard Extended Duration Treasury ETF</v>
      </c>
      <c r="K315" s="126">
        <f t="shared" si="3"/>
        <v>0</v>
      </c>
      <c r="L315" s="126">
        <f t="shared" si="4"/>
        <v>-4941.36</v>
      </c>
      <c r="M315" s="195" t="str">
        <f>IF(AND($N315&lt;&gt;"",$O315&lt;&gt;0),MAXIFS(Investment!$L:$L,Investment!$D:$D,$N315),"")</f>
        <v/>
      </c>
      <c r="N315" s="187"/>
      <c r="P315" s="35"/>
    </row>
    <row r="316">
      <c r="A316" s="7">
        <v>42870.0</v>
      </c>
      <c r="B316" s="138"/>
      <c r="C316" s="220"/>
      <c r="D316" s="10" t="s">
        <v>364</v>
      </c>
      <c r="E316" s="138"/>
      <c r="F316" s="145"/>
      <c r="G316" s="35">
        <v>30.0</v>
      </c>
      <c r="H316" s="187" t="s">
        <v>693</v>
      </c>
      <c r="I316" s="193" t="str">
        <f t="shared" si="1"/>
        <v/>
      </c>
      <c r="J316" s="193" t="str">
        <f t="shared" si="2"/>
        <v/>
      </c>
      <c r="K316" s="126" t="str">
        <f t="shared" si="3"/>
        <v/>
      </c>
      <c r="L316" s="126" t="str">
        <f t="shared" si="4"/>
        <v/>
      </c>
      <c r="M316" s="195" t="str">
        <f>IF(AND($N316&lt;&gt;"",$O316&lt;&gt;0),MAXIFS(Investment!$L:$L,Investment!$D:$D,$N316),"")</f>
        <v/>
      </c>
      <c r="N316" s="187"/>
      <c r="P316" s="35"/>
    </row>
    <row r="317" ht="1.5" customHeight="1">
      <c r="A317" s="7">
        <v>42867.0</v>
      </c>
      <c r="B317" s="197"/>
      <c r="C317" s="192"/>
      <c r="D317" s="198" t="s">
        <v>364</v>
      </c>
      <c r="E317" s="198"/>
      <c r="F317" s="145"/>
      <c r="G317" s="199">
        <v>500.0</v>
      </c>
      <c r="H317" s="192" t="s">
        <v>694</v>
      </c>
      <c r="I317" s="193" t="str">
        <f t="shared" si="1"/>
        <v/>
      </c>
      <c r="J317" s="193" t="str">
        <f t="shared" si="2"/>
        <v/>
      </c>
      <c r="K317" s="126" t="str">
        <f t="shared" si="3"/>
        <v/>
      </c>
      <c r="L317" s="126" t="str">
        <f t="shared" si="4"/>
        <v/>
      </c>
      <c r="M317" s="195" t="str">
        <f>IF(AND($N317&lt;&gt;"",$O317&lt;&gt;0),MAXIFS(Investment!$L:$L,Investment!$D:$D,$N317),"")</f>
        <v/>
      </c>
      <c r="N317" s="193"/>
      <c r="O317" s="126"/>
      <c r="P317" s="207"/>
    </row>
    <row r="318" ht="1.5" customHeight="1">
      <c r="A318" s="7">
        <v>42864.0</v>
      </c>
      <c r="B318" s="197"/>
      <c r="C318" s="192"/>
      <c r="D318" s="198" t="s">
        <v>364</v>
      </c>
      <c r="E318" s="198"/>
      <c r="F318" s="145"/>
      <c r="G318" s="199">
        <v>500.0</v>
      </c>
      <c r="H318" s="192" t="s">
        <v>694</v>
      </c>
      <c r="I318" s="193" t="str">
        <f t="shared" si="1"/>
        <v/>
      </c>
      <c r="J318" s="193" t="str">
        <f t="shared" si="2"/>
        <v/>
      </c>
      <c r="K318" s="126" t="str">
        <f t="shared" si="3"/>
        <v/>
      </c>
      <c r="L318" s="126" t="str">
        <f t="shared" si="4"/>
        <v/>
      </c>
      <c r="M318" s="195" t="str">
        <f>IF(AND($N318&lt;&gt;"",$O318&lt;&gt;0),MAXIFS(Investment!$L:$L,Investment!$D:$D,$N318),"")</f>
        <v/>
      </c>
      <c r="N318" s="193"/>
      <c r="O318" s="126"/>
      <c r="P318" s="207"/>
    </row>
    <row r="319" ht="1.5" customHeight="1">
      <c r="A319" s="7">
        <v>42858.0</v>
      </c>
      <c r="B319" s="10" t="s">
        <v>367</v>
      </c>
      <c r="C319" s="212" t="s">
        <v>675</v>
      </c>
      <c r="D319" s="10" t="s">
        <v>369</v>
      </c>
      <c r="E319" s="10">
        <v>98.0</v>
      </c>
      <c r="F319" s="145">
        <v>19.25</v>
      </c>
      <c r="G319" s="35">
        <v>-1886.5</v>
      </c>
      <c r="H319" s="187" t="s">
        <v>695</v>
      </c>
      <c r="I319" s="193">
        <f t="shared" si="1"/>
        <v>-1886.5</v>
      </c>
      <c r="J319" s="193" t="str">
        <f t="shared" si="2"/>
        <v>iShares Diversified Commodity Swap UCITS ETF DE</v>
      </c>
      <c r="K319" s="126">
        <f t="shared" si="3"/>
        <v>0</v>
      </c>
      <c r="L319" s="126">
        <f t="shared" si="4"/>
        <v>-296.42</v>
      </c>
      <c r="M319" s="195" t="str">
        <f>IF(AND($N319&lt;&gt;"",$O319&lt;&gt;0),MAXIFS(Investment!$L:$L,Investment!$D:$D,$N319),"")</f>
        <v/>
      </c>
      <c r="N319" s="187"/>
      <c r="P319" s="35"/>
    </row>
    <row r="320">
      <c r="A320" s="7">
        <v>42858.0</v>
      </c>
      <c r="B320" s="10" t="s">
        <v>385</v>
      </c>
      <c r="C320" s="212" t="s">
        <v>547</v>
      </c>
      <c r="D320" s="10" t="s">
        <v>369</v>
      </c>
      <c r="E320" s="10">
        <v>195.0</v>
      </c>
      <c r="F320" s="145">
        <v>11.05</v>
      </c>
      <c r="G320" s="35">
        <v>-2154.76</v>
      </c>
      <c r="H320" s="187" t="s">
        <v>696</v>
      </c>
      <c r="I320" s="193">
        <f t="shared" si="1"/>
        <v>-2154.76</v>
      </c>
      <c r="J320" s="193" t="str">
        <f t="shared" si="2"/>
        <v>iShares Gold Trust</v>
      </c>
      <c r="K320" s="126">
        <f t="shared" si="3"/>
        <v>0</v>
      </c>
      <c r="L320" s="126">
        <f t="shared" si="4"/>
        <v>140.23</v>
      </c>
      <c r="M320" s="195" t="str">
        <f>IF(AND($N320&lt;&gt;"",$O320&lt;&gt;0),MAXIFS(Investment!$L:$L,Investment!$D:$D,$N320),"")</f>
        <v/>
      </c>
      <c r="N320" s="187"/>
      <c r="P320" s="35"/>
    </row>
    <row r="321">
      <c r="A321" s="7">
        <v>42858.0</v>
      </c>
      <c r="B321" s="10" t="s">
        <v>379</v>
      </c>
      <c r="C321" s="212" t="s">
        <v>665</v>
      </c>
      <c r="D321" s="10" t="s">
        <v>369</v>
      </c>
      <c r="E321" s="10">
        <v>44.0</v>
      </c>
      <c r="F321" s="145">
        <v>97.62</v>
      </c>
      <c r="G321" s="35">
        <v>-4295.13</v>
      </c>
      <c r="H321" s="187" t="s">
        <v>697</v>
      </c>
      <c r="I321" s="193">
        <f t="shared" si="1"/>
        <v>-4295.13</v>
      </c>
      <c r="J321" s="193" t="str">
        <f t="shared" si="2"/>
        <v>iShares 7-10 Year Treasury Bond ETF</v>
      </c>
      <c r="K321" s="126">
        <f t="shared" si="3"/>
        <v>0</v>
      </c>
      <c r="L321" s="126">
        <f t="shared" si="4"/>
        <v>-345.82</v>
      </c>
      <c r="M321" s="195" t="str">
        <f>IF(AND($N321&lt;&gt;"",$O321&lt;&gt;0),MAXIFS(Investment!$L:$L,Investment!$D:$D,$N321),"")</f>
        <v/>
      </c>
      <c r="N321" s="187"/>
      <c r="P321" s="35"/>
    </row>
    <row r="322">
      <c r="A322" s="7">
        <v>42858.0</v>
      </c>
      <c r="B322" s="10" t="s">
        <v>371</v>
      </c>
      <c r="C322" s="212" t="s">
        <v>679</v>
      </c>
      <c r="D322" s="10" t="s">
        <v>369</v>
      </c>
      <c r="E322" s="10">
        <v>76.0</v>
      </c>
      <c r="F322" s="145">
        <v>112.55</v>
      </c>
      <c r="G322" s="35">
        <v>-8554.15</v>
      </c>
      <c r="H322" s="187" t="s">
        <v>698</v>
      </c>
      <c r="I322" s="193">
        <f t="shared" si="1"/>
        <v>-8554.15</v>
      </c>
      <c r="J322" s="193" t="str">
        <f t="shared" si="2"/>
        <v>Vanguard Total Stock Market ETF</v>
      </c>
      <c r="K322" s="126">
        <f t="shared" si="3"/>
        <v>0</v>
      </c>
      <c r="L322" s="126">
        <f t="shared" si="4"/>
        <v>1880.34</v>
      </c>
      <c r="M322" s="195" t="str">
        <f>IF(AND($N322&lt;&gt;"",$O322&lt;&gt;0),MAXIFS(Investment!$L:$L,Investment!$D:$D,$N322),"")</f>
        <v/>
      </c>
      <c r="N322" s="187"/>
      <c r="P322" s="35"/>
    </row>
    <row r="323">
      <c r="A323" s="7">
        <v>42858.0</v>
      </c>
      <c r="B323" s="10" t="s">
        <v>374</v>
      </c>
      <c r="C323" s="212" t="s">
        <v>472</v>
      </c>
      <c r="D323" s="10" t="s">
        <v>369</v>
      </c>
      <c r="E323" s="10">
        <v>111.0</v>
      </c>
      <c r="F323" s="145">
        <v>104.22</v>
      </c>
      <c r="G323" s="35">
        <v>-11568.3</v>
      </c>
      <c r="H323" s="187" t="s">
        <v>699</v>
      </c>
      <c r="I323" s="193">
        <f t="shared" si="1"/>
        <v>-11568.3</v>
      </c>
      <c r="J323" s="193" t="str">
        <f t="shared" si="2"/>
        <v>Vanguard Extended Duration Treasury ETF</v>
      </c>
      <c r="K323" s="126">
        <f t="shared" si="3"/>
        <v>0</v>
      </c>
      <c r="L323" s="126">
        <f t="shared" si="4"/>
        <v>-4941.36</v>
      </c>
      <c r="M323" s="195" t="str">
        <f>IF(AND($N323&lt;&gt;"",$O323&lt;&gt;0),MAXIFS(Investment!$L:$L,Investment!$D:$D,$N323),"")</f>
        <v/>
      </c>
      <c r="N323" s="187"/>
      <c r="P323" s="35"/>
    </row>
    <row r="324">
      <c r="A324" s="7">
        <v>42857.0</v>
      </c>
      <c r="B324" s="10" t="s">
        <v>367</v>
      </c>
      <c r="C324" s="212" t="s">
        <v>675</v>
      </c>
      <c r="D324" s="10" t="s">
        <v>369</v>
      </c>
      <c r="E324" s="10">
        <v>181.0</v>
      </c>
      <c r="F324" s="145">
        <v>19.31</v>
      </c>
      <c r="G324" s="35">
        <v>-3495.11</v>
      </c>
      <c r="H324" s="187" t="s">
        <v>700</v>
      </c>
      <c r="I324" s="193">
        <f t="shared" si="1"/>
        <v>-3495.11</v>
      </c>
      <c r="J324" s="193" t="str">
        <f t="shared" si="2"/>
        <v>iShares Diversified Commodity Swap UCITS ETF DE</v>
      </c>
      <c r="K324" s="126">
        <f t="shared" si="3"/>
        <v>0</v>
      </c>
      <c r="L324" s="126">
        <f t="shared" si="4"/>
        <v>-296.42</v>
      </c>
      <c r="M324" s="195" t="str">
        <f>IF(AND($N324&lt;&gt;"",$O324&lt;&gt;0),MAXIFS(Investment!$L:$L,Investment!$D:$D,$N324),"")</f>
        <v/>
      </c>
      <c r="N324" s="187"/>
      <c r="P324" s="35"/>
    </row>
    <row r="325">
      <c r="A325" s="7">
        <v>42856.0</v>
      </c>
      <c r="B325" s="10" t="s">
        <v>379</v>
      </c>
      <c r="C325" s="212" t="s">
        <v>665</v>
      </c>
      <c r="D325" s="10" t="s">
        <v>369</v>
      </c>
      <c r="E325" s="10">
        <v>66.0</v>
      </c>
      <c r="F325" s="145">
        <v>97.56</v>
      </c>
      <c r="G325" s="35">
        <v>-6439.03</v>
      </c>
      <c r="H325" s="187" t="s">
        <v>701</v>
      </c>
      <c r="I325" s="193">
        <f t="shared" si="1"/>
        <v>-6439.03</v>
      </c>
      <c r="J325" s="193" t="str">
        <f t="shared" si="2"/>
        <v>iShares 7-10 Year Treasury Bond ETF</v>
      </c>
      <c r="K325" s="126">
        <f t="shared" si="3"/>
        <v>0</v>
      </c>
      <c r="L325" s="126">
        <f t="shared" si="4"/>
        <v>-345.82</v>
      </c>
      <c r="M325" s="195" t="str">
        <f>IF(AND($N325&lt;&gt;"",$O325&lt;&gt;0),MAXIFS(Investment!$L:$L,Investment!$D:$D,$N325),"")</f>
        <v/>
      </c>
      <c r="N325" s="187"/>
      <c r="P325" s="35"/>
    </row>
    <row r="326">
      <c r="A326" s="7">
        <v>42856.0</v>
      </c>
      <c r="B326" s="10" t="s">
        <v>371</v>
      </c>
      <c r="C326" s="212" t="s">
        <v>679</v>
      </c>
      <c r="D326" s="10" t="s">
        <v>369</v>
      </c>
      <c r="E326" s="10">
        <v>115.0</v>
      </c>
      <c r="F326" s="145">
        <v>112.8</v>
      </c>
      <c r="G326" s="35">
        <v>-12972.31</v>
      </c>
      <c r="H326" s="187" t="s">
        <v>702</v>
      </c>
      <c r="I326" s="193">
        <f t="shared" si="1"/>
        <v>-12972.31</v>
      </c>
      <c r="J326" s="193" t="str">
        <f t="shared" si="2"/>
        <v>Vanguard Total Stock Market ETF</v>
      </c>
      <c r="K326" s="126">
        <f t="shared" si="3"/>
        <v>0</v>
      </c>
      <c r="L326" s="126">
        <f t="shared" si="4"/>
        <v>1880.34</v>
      </c>
      <c r="M326" s="195" t="str">
        <f>IF(AND($N326&lt;&gt;"",$O326&lt;&gt;0),MAXIFS(Investment!$L:$L,Investment!$D:$D,$N326),"")</f>
        <v/>
      </c>
      <c r="N326" s="187"/>
      <c r="P326" s="35"/>
    </row>
    <row r="327">
      <c r="A327" s="7">
        <v>42856.0</v>
      </c>
      <c r="B327" s="10" t="s">
        <v>385</v>
      </c>
      <c r="C327" s="212" t="s">
        <v>547</v>
      </c>
      <c r="D327" s="10" t="s">
        <v>369</v>
      </c>
      <c r="E327" s="10">
        <v>290.0</v>
      </c>
      <c r="F327" s="145">
        <v>11.16</v>
      </c>
      <c r="G327" s="35">
        <v>-3235.89</v>
      </c>
      <c r="H327" s="187" t="s">
        <v>703</v>
      </c>
      <c r="I327" s="193">
        <f t="shared" si="1"/>
        <v>-3235.89</v>
      </c>
      <c r="J327" s="193" t="str">
        <f t="shared" si="2"/>
        <v>iShares Gold Trust</v>
      </c>
      <c r="K327" s="126">
        <f t="shared" si="3"/>
        <v>0</v>
      </c>
      <c r="L327" s="126">
        <f t="shared" si="4"/>
        <v>140.23</v>
      </c>
      <c r="M327" s="195" t="str">
        <f>IF(AND($N327&lt;&gt;"",$O327&lt;&gt;0),MAXIFS(Investment!$L:$L,Investment!$D:$D,$N327),"")</f>
        <v/>
      </c>
      <c r="N327" s="187"/>
      <c r="P327" s="35"/>
    </row>
    <row r="328">
      <c r="A328" s="7">
        <v>42856.0</v>
      </c>
      <c r="B328" s="10" t="s">
        <v>374</v>
      </c>
      <c r="C328" s="212" t="s">
        <v>472</v>
      </c>
      <c r="D328" s="10" t="s">
        <v>369</v>
      </c>
      <c r="E328" s="10">
        <v>166.0</v>
      </c>
      <c r="F328" s="145">
        <v>103.67</v>
      </c>
      <c r="G328" s="35">
        <v>-17209.62</v>
      </c>
      <c r="H328" s="187" t="s">
        <v>704</v>
      </c>
      <c r="I328" s="193">
        <f t="shared" si="1"/>
        <v>-17209.62</v>
      </c>
      <c r="J328" s="193" t="str">
        <f t="shared" si="2"/>
        <v>Vanguard Extended Duration Treasury ETF</v>
      </c>
      <c r="K328" s="126">
        <f t="shared" si="3"/>
        <v>0</v>
      </c>
      <c r="L328" s="126">
        <f t="shared" si="4"/>
        <v>-4941.36</v>
      </c>
      <c r="M328" s="195" t="str">
        <f>IF(AND($N328&lt;&gt;"",$O328&lt;&gt;0),MAXIFS(Investment!$L:$L,Investment!$D:$D,$N328),"")</f>
        <v/>
      </c>
      <c r="N328" s="187"/>
      <c r="P328" s="35"/>
    </row>
    <row r="329">
      <c r="A329" s="7">
        <v>42853.0</v>
      </c>
      <c r="B329" s="138"/>
      <c r="C329" s="220"/>
      <c r="D329" s="10" t="s">
        <v>364</v>
      </c>
      <c r="E329" s="138"/>
      <c r="F329" s="145"/>
      <c r="G329" s="35">
        <v>43355.53</v>
      </c>
      <c r="H329" s="187" t="s">
        <v>705</v>
      </c>
      <c r="I329" s="193" t="str">
        <f t="shared" si="1"/>
        <v/>
      </c>
      <c r="J329" s="193" t="str">
        <f t="shared" si="2"/>
        <v/>
      </c>
      <c r="K329" s="126" t="str">
        <f t="shared" si="3"/>
        <v/>
      </c>
      <c r="L329" s="126" t="str">
        <f t="shared" si="4"/>
        <v/>
      </c>
      <c r="M329" s="195" t="str">
        <f>IF(AND($N329&lt;&gt;"",$O329&lt;&gt;0),MAXIFS(Investment!$L:$L,Investment!$D:$D,$N329),"")</f>
        <v/>
      </c>
      <c r="N329" s="187"/>
      <c r="P329" s="35"/>
    </row>
    <row r="330">
      <c r="A330" s="7">
        <v>42849.0</v>
      </c>
      <c r="B330" s="197"/>
      <c r="C330" s="192"/>
      <c r="D330" s="198" t="s">
        <v>364</v>
      </c>
      <c r="E330" s="198"/>
      <c r="F330" s="145"/>
      <c r="G330" s="199">
        <v>1.0</v>
      </c>
      <c r="H330" s="192" t="s">
        <v>706</v>
      </c>
      <c r="I330" s="193" t="str">
        <f t="shared" si="1"/>
        <v/>
      </c>
      <c r="J330" s="193" t="str">
        <f t="shared" si="2"/>
        <v/>
      </c>
      <c r="K330" s="126" t="str">
        <f t="shared" si="3"/>
        <v/>
      </c>
      <c r="L330" s="126" t="str">
        <f t="shared" si="4"/>
        <v/>
      </c>
      <c r="M330" s="195" t="str">
        <f>IF(AND($N330&lt;&gt;"",$O330&lt;&gt;0),MAXIFS(Investment!$L:$L,Investment!$D:$D,$N330),"")</f>
        <v/>
      </c>
      <c r="N330" s="193"/>
      <c r="O330" s="126"/>
      <c r="P330" s="207"/>
    </row>
    <row r="331">
      <c r="A331" s="7">
        <v>42845.0</v>
      </c>
      <c r="B331" s="221"/>
      <c r="C331" s="222"/>
      <c r="D331" s="223" t="s">
        <v>362</v>
      </c>
      <c r="E331" s="221"/>
      <c r="F331" s="224"/>
      <c r="G331" s="225">
        <v>-6.0</v>
      </c>
      <c r="H331" s="226" t="str">
        <f t="shared" ref="H331:H481" si="5">IF(D331&lt;&gt;"",C331 &amp; "@" &amp; D331 &amp; "@" &amp; E331 &amp; "@" &amp; G331,"")</f>
        <v>@COST@@-6</v>
      </c>
      <c r="I331" s="193" t="str">
        <f t="shared" si="1"/>
        <v/>
      </c>
      <c r="J331" s="193" t="str">
        <f t="shared" si="2"/>
        <v/>
      </c>
      <c r="K331" s="126" t="str">
        <f t="shared" si="3"/>
        <v/>
      </c>
      <c r="L331" s="126" t="str">
        <f t="shared" si="4"/>
        <v/>
      </c>
      <c r="M331" s="195" t="str">
        <f>IF(AND($N331&lt;&gt;"",$O331&lt;&gt;0),MAXIFS(Investment!$L:$L,Investment!$D:$D,$N331),"")</f>
        <v/>
      </c>
      <c r="N331" s="187"/>
      <c r="P331" s="35"/>
    </row>
    <row r="332">
      <c r="A332" s="7">
        <v>42845.0</v>
      </c>
      <c r="B332" s="221"/>
      <c r="C332" s="222"/>
      <c r="D332" s="223" t="s">
        <v>364</v>
      </c>
      <c r="E332" s="221"/>
      <c r="F332" s="224"/>
      <c r="G332" s="225">
        <v>-45404.0</v>
      </c>
      <c r="H332" s="226" t="str">
        <f t="shared" si="5"/>
        <v>@APPROVISIONNEMENT@@-45404</v>
      </c>
      <c r="I332" s="193" t="str">
        <f t="shared" si="1"/>
        <v/>
      </c>
      <c r="J332" s="193" t="str">
        <f t="shared" si="2"/>
        <v/>
      </c>
      <c r="K332" s="126" t="str">
        <f t="shared" si="3"/>
        <v/>
      </c>
      <c r="L332" s="126" t="str">
        <f t="shared" si="4"/>
        <v/>
      </c>
      <c r="M332" s="195" t="str">
        <f>IF(AND($N332&lt;&gt;"",$O332&lt;&gt;0),MAXIFS(Investment!$L:$L,Investment!$D:$D,$N332),"")</f>
        <v/>
      </c>
      <c r="N332" s="187"/>
      <c r="P332" s="35"/>
    </row>
    <row r="333">
      <c r="A333" s="7">
        <v>42845.0</v>
      </c>
      <c r="B333" s="221"/>
      <c r="C333" s="222"/>
      <c r="D333" s="223" t="s">
        <v>364</v>
      </c>
      <c r="E333" s="221"/>
      <c r="F333" s="224"/>
      <c r="G333" s="225">
        <v>-452.53</v>
      </c>
      <c r="H333" s="226" t="str">
        <f t="shared" si="5"/>
        <v>@APPROVISIONNEMENT@@-452.53</v>
      </c>
      <c r="I333" s="193" t="str">
        <f t="shared" si="1"/>
        <v/>
      </c>
      <c r="J333" s="193" t="str">
        <f t="shared" si="2"/>
        <v/>
      </c>
      <c r="K333" s="126" t="str">
        <f t="shared" si="3"/>
        <v/>
      </c>
      <c r="L333" s="126" t="str">
        <f t="shared" si="4"/>
        <v/>
      </c>
      <c r="M333" s="195" t="str">
        <f>IF(AND($N333&lt;&gt;"",$O333&lt;&gt;0),MAXIFS(Investment!$L:$L,Investment!$D:$D,$N333),"")</f>
        <v/>
      </c>
      <c r="N333" s="187"/>
      <c r="P333" s="35"/>
    </row>
    <row r="334">
      <c r="A334" s="7">
        <v>42845.0</v>
      </c>
      <c r="B334" s="227" t="s">
        <v>374</v>
      </c>
      <c r="C334" s="228" t="s">
        <v>472</v>
      </c>
      <c r="D334" s="227" t="s">
        <v>381</v>
      </c>
      <c r="E334" s="229">
        <v>-179.0</v>
      </c>
      <c r="F334" s="230">
        <v>107.2757</v>
      </c>
      <c r="G334" s="231">
        <v>19185.08</v>
      </c>
      <c r="H334" s="226" t="str">
        <f t="shared" si="5"/>
        <v>Vanguard Extended Duration Treasury ETF@SELL@-179@19185.08</v>
      </c>
      <c r="I334" s="193">
        <f t="shared" si="1"/>
        <v>19185.08</v>
      </c>
      <c r="J334" s="193" t="str">
        <f t="shared" si="2"/>
        <v>Vanguard Extended Duration Treasury ETF</v>
      </c>
      <c r="K334" s="126">
        <f t="shared" si="3"/>
        <v>0</v>
      </c>
      <c r="L334" s="126">
        <f t="shared" si="4"/>
        <v>-4941.36</v>
      </c>
      <c r="M334" s="195" t="str">
        <f>IF(AND($N334&lt;&gt;"",$O334&lt;&gt;0),MAXIFS(Investment!$L:$L,Investment!$D:$D,$N334),"")</f>
        <v/>
      </c>
      <c r="N334" s="226"/>
      <c r="P334" s="59"/>
    </row>
    <row r="335">
      <c r="A335" s="7">
        <v>42845.0</v>
      </c>
      <c r="B335" s="227" t="s">
        <v>385</v>
      </c>
      <c r="C335" s="228" t="s">
        <v>547</v>
      </c>
      <c r="D335" s="227" t="s">
        <v>381</v>
      </c>
      <c r="E335" s="229">
        <v>-292.0</v>
      </c>
      <c r="F335" s="230">
        <v>11.4687</v>
      </c>
      <c r="G335" s="231">
        <v>3340.35</v>
      </c>
      <c r="H335" s="226" t="str">
        <f t="shared" si="5"/>
        <v>iShares Gold Trust@SELL@-292@3340.35</v>
      </c>
      <c r="I335" s="193">
        <f t="shared" si="1"/>
        <v>3340.35</v>
      </c>
      <c r="J335" s="193" t="str">
        <f t="shared" si="2"/>
        <v>iShares Gold Trust</v>
      </c>
      <c r="K335" s="126">
        <f t="shared" si="3"/>
        <v>0</v>
      </c>
      <c r="L335" s="126">
        <f t="shared" si="4"/>
        <v>140.23</v>
      </c>
      <c r="M335" s="195" t="str">
        <f>IF(AND($N335&lt;&gt;"",$O335&lt;&gt;0),MAXIFS(Investment!$L:$L,Investment!$D:$D,$N335),"")</f>
        <v/>
      </c>
      <c r="N335" s="226"/>
      <c r="P335" s="59"/>
    </row>
    <row r="336" ht="1.5" customHeight="1">
      <c r="A336" s="7">
        <v>42845.0</v>
      </c>
      <c r="B336" s="227" t="s">
        <v>379</v>
      </c>
      <c r="C336" s="228" t="s">
        <v>665</v>
      </c>
      <c r="D336" s="227" t="s">
        <v>381</v>
      </c>
      <c r="E336" s="229">
        <v>-67.0</v>
      </c>
      <c r="F336" s="230">
        <v>99.6126</v>
      </c>
      <c r="G336" s="231">
        <v>6665.55</v>
      </c>
      <c r="H336" s="226" t="str">
        <f t="shared" si="5"/>
        <v>iShares 7-10 Year Treasury Bond ETF@SELL@-67@6665.55</v>
      </c>
      <c r="I336" s="193">
        <f t="shared" si="1"/>
        <v>6665.55</v>
      </c>
      <c r="J336" s="193" t="str">
        <f t="shared" si="2"/>
        <v>iShares 7-10 Year Treasury Bond ETF</v>
      </c>
      <c r="K336" s="126">
        <f t="shared" si="3"/>
        <v>0</v>
      </c>
      <c r="L336" s="126">
        <f t="shared" si="4"/>
        <v>-345.82</v>
      </c>
      <c r="M336" s="195" t="str">
        <f>IF(AND($N336&lt;&gt;"",$O336&lt;&gt;0),MAXIFS(Investment!$L:$L,Investment!$D:$D,$N336),"")</f>
        <v/>
      </c>
      <c r="N336" s="226"/>
      <c r="P336" s="59"/>
    </row>
    <row r="337" ht="1.5" customHeight="1">
      <c r="A337" s="7">
        <v>42845.0</v>
      </c>
      <c r="B337" s="227" t="s">
        <v>367</v>
      </c>
      <c r="C337" s="228" t="s">
        <v>675</v>
      </c>
      <c r="D337" s="227" t="s">
        <v>381</v>
      </c>
      <c r="E337" s="229">
        <v>-211.0</v>
      </c>
      <c r="F337" s="230">
        <v>14.3195</v>
      </c>
      <c r="G337" s="231">
        <v>3012.92</v>
      </c>
      <c r="H337" s="226" t="str">
        <f t="shared" si="5"/>
        <v>iShares Diversified Commodity Swap UCITS ETF DE@SELL@-211@3012.92</v>
      </c>
      <c r="I337" s="193">
        <f t="shared" si="1"/>
        <v>3012.92</v>
      </c>
      <c r="J337" s="193" t="str">
        <f t="shared" si="2"/>
        <v>iShares Diversified Commodity Swap UCITS ETF DE</v>
      </c>
      <c r="K337" s="126">
        <f t="shared" si="3"/>
        <v>0</v>
      </c>
      <c r="L337" s="126">
        <f t="shared" si="4"/>
        <v>-296.42</v>
      </c>
      <c r="M337" s="195" t="str">
        <f>IF(AND($N337&lt;&gt;"",$O337&lt;&gt;0),MAXIFS(Investment!$L:$L,Investment!$D:$D,$N337),"")</f>
        <v/>
      </c>
      <c r="N337" s="226"/>
      <c r="P337" s="59"/>
    </row>
    <row r="338" ht="1.5" customHeight="1">
      <c r="A338" s="7">
        <v>42845.0</v>
      </c>
      <c r="B338" s="227" t="s">
        <v>371</v>
      </c>
      <c r="C338" s="239" t="s">
        <v>679</v>
      </c>
      <c r="D338" s="227" t="s">
        <v>381</v>
      </c>
      <c r="E338" s="229">
        <v>-120.0</v>
      </c>
      <c r="F338" s="230">
        <v>112.3483</v>
      </c>
      <c r="G338" s="231">
        <v>13469.67</v>
      </c>
      <c r="H338" s="226" t="str">
        <f t="shared" si="5"/>
        <v>Vanguard Total Stock Market ETF@SELL@-120@13469.67</v>
      </c>
      <c r="I338" s="193">
        <f t="shared" si="1"/>
        <v>13469.67</v>
      </c>
      <c r="J338" s="193" t="str">
        <f t="shared" si="2"/>
        <v>Vanguard Total Stock Market ETF</v>
      </c>
      <c r="K338" s="126">
        <f t="shared" si="3"/>
        <v>0</v>
      </c>
      <c r="L338" s="126">
        <f t="shared" si="4"/>
        <v>1880.34</v>
      </c>
      <c r="M338" s="195" t="str">
        <f>IF(AND($N338&lt;&gt;"",$O338&lt;&gt;0),MAXIFS(Investment!$L:$L,Investment!$D:$D,$N338),"")</f>
        <v/>
      </c>
      <c r="N338" s="226"/>
      <c r="P338" s="59"/>
    </row>
    <row r="339">
      <c r="A339" s="7">
        <v>42845.0</v>
      </c>
      <c r="B339" s="10" t="s">
        <v>379</v>
      </c>
      <c r="C339" s="212" t="s">
        <v>665</v>
      </c>
      <c r="D339" s="10" t="s">
        <v>376</v>
      </c>
      <c r="E339" s="10"/>
      <c r="F339" s="145"/>
      <c r="G339" s="35">
        <v>4.9</v>
      </c>
      <c r="H339" s="226" t="str">
        <f t="shared" si="5"/>
        <v>iShares 7-10 Year Treasury Bond ETF@DIVIDEND@@4.9</v>
      </c>
      <c r="I339" s="193" t="str">
        <f t="shared" si="1"/>
        <v/>
      </c>
      <c r="J339" s="193" t="str">
        <f t="shared" si="2"/>
        <v>iShares 7-10 Year Treasury Bond ETF</v>
      </c>
      <c r="K339" s="126">
        <f t="shared" si="3"/>
        <v>0</v>
      </c>
      <c r="L339" s="126">
        <f t="shared" si="4"/>
        <v>-345.82</v>
      </c>
      <c r="M339" s="195" t="str">
        <f>IF(AND($N339&lt;&gt;"",$O339&lt;&gt;0),MAXIFS(Investment!$L:$L,Investment!$D:$D,$N339),"")</f>
        <v/>
      </c>
      <c r="N339" s="187"/>
      <c r="P339" s="35"/>
    </row>
    <row r="340" ht="1.5" customHeight="1">
      <c r="A340" s="7">
        <v>42836.0</v>
      </c>
      <c r="B340" s="10" t="s">
        <v>374</v>
      </c>
      <c r="C340" s="212" t="s">
        <v>472</v>
      </c>
      <c r="D340" s="10" t="s">
        <v>376</v>
      </c>
      <c r="E340" s="10"/>
      <c r="F340" s="145"/>
      <c r="G340" s="35">
        <v>56.77</v>
      </c>
      <c r="H340" s="226" t="str">
        <f t="shared" si="5"/>
        <v>Vanguard Extended Duration Treasury ETF@DIVIDEND@@56.77</v>
      </c>
      <c r="I340" s="193" t="str">
        <f t="shared" si="1"/>
        <v/>
      </c>
      <c r="J340" s="193" t="str">
        <f t="shared" si="2"/>
        <v>Vanguard Extended Duration Treasury ETF</v>
      </c>
      <c r="K340" s="126">
        <f t="shared" si="3"/>
        <v>0</v>
      </c>
      <c r="L340" s="126">
        <f t="shared" si="4"/>
        <v>-4941.36</v>
      </c>
      <c r="M340" s="195" t="str">
        <f>IF(AND($N340&lt;&gt;"",$O340&lt;&gt;0),MAXIFS(Investment!$L:$L,Investment!$D:$D,$N340),"")</f>
        <v/>
      </c>
      <c r="N340" s="187"/>
      <c r="P340" s="35"/>
    </row>
    <row r="341" ht="1.5" customHeight="1">
      <c r="A341" s="7">
        <v>42835.0</v>
      </c>
      <c r="B341" s="10" t="s">
        <v>371</v>
      </c>
      <c r="C341" s="212" t="s">
        <v>679</v>
      </c>
      <c r="D341" s="10" t="s">
        <v>376</v>
      </c>
      <c r="E341" s="10"/>
      <c r="F341" s="145"/>
      <c r="G341" s="35">
        <v>29.55</v>
      </c>
      <c r="H341" s="226" t="str">
        <f t="shared" si="5"/>
        <v>Vanguard Total Stock Market ETF@DIVIDEND@@29.55</v>
      </c>
      <c r="I341" s="193" t="str">
        <f t="shared" si="1"/>
        <v/>
      </c>
      <c r="J341" s="193" t="str">
        <f t="shared" si="2"/>
        <v>Vanguard Total Stock Market ETF</v>
      </c>
      <c r="K341" s="126">
        <f t="shared" si="3"/>
        <v>0</v>
      </c>
      <c r="L341" s="126">
        <f t="shared" si="4"/>
        <v>1880.34</v>
      </c>
      <c r="M341" s="195" t="str">
        <f>IF(AND($N341&lt;&gt;"",$O341&lt;&gt;0),MAXIFS(Investment!$L:$L,Investment!$D:$D,$N341),"")</f>
        <v/>
      </c>
      <c r="N341" s="187"/>
      <c r="P341" s="35"/>
    </row>
    <row r="342" ht="1.5" customHeight="1">
      <c r="A342" s="7">
        <v>42829.0</v>
      </c>
      <c r="B342" s="138"/>
      <c r="C342" s="220"/>
      <c r="D342" s="10" t="s">
        <v>362</v>
      </c>
      <c r="E342" s="138"/>
      <c r="F342" s="145"/>
      <c r="G342" s="35">
        <v>-0.16</v>
      </c>
      <c r="H342" s="226" t="str">
        <f t="shared" si="5"/>
        <v>@COST@@-0.16</v>
      </c>
      <c r="I342" s="193" t="str">
        <f t="shared" si="1"/>
        <v/>
      </c>
      <c r="J342" s="193" t="str">
        <f t="shared" si="2"/>
        <v/>
      </c>
      <c r="K342" s="126" t="str">
        <f t="shared" si="3"/>
        <v/>
      </c>
      <c r="L342" s="126" t="str">
        <f t="shared" si="4"/>
        <v/>
      </c>
      <c r="M342" s="195" t="str">
        <f>IF(AND($N342&lt;&gt;"",$O342&lt;&gt;0),MAXIFS(Investment!$L:$L,Investment!$D:$D,$N342),"")</f>
        <v/>
      </c>
      <c r="N342" s="187"/>
      <c r="P342" s="35"/>
    </row>
    <row r="343">
      <c r="A343" s="7">
        <v>42803.0</v>
      </c>
      <c r="B343" s="10" t="s">
        <v>379</v>
      </c>
      <c r="C343" s="212" t="s">
        <v>665</v>
      </c>
      <c r="D343" s="10" t="s">
        <v>376</v>
      </c>
      <c r="E343" s="10"/>
      <c r="F343" s="145"/>
      <c r="G343" s="35">
        <v>4.5</v>
      </c>
      <c r="H343" s="226" t="str">
        <f t="shared" si="5"/>
        <v>iShares 7-10 Year Treasury Bond ETF@DIVIDEND@@4.5</v>
      </c>
      <c r="I343" s="193" t="str">
        <f t="shared" si="1"/>
        <v/>
      </c>
      <c r="J343" s="193" t="str">
        <f t="shared" si="2"/>
        <v>iShares 7-10 Year Treasury Bond ETF</v>
      </c>
      <c r="K343" s="126">
        <f t="shared" si="3"/>
        <v>0</v>
      </c>
      <c r="L343" s="126">
        <f t="shared" si="4"/>
        <v>-345.82</v>
      </c>
      <c r="M343" s="195" t="str">
        <f>IF(AND($N343&lt;&gt;"",$O343&lt;&gt;0),MAXIFS(Investment!$L:$L,Investment!$D:$D,$N343),"")</f>
        <v/>
      </c>
      <c r="N343" s="187"/>
      <c r="P343" s="35"/>
    </row>
    <row r="344">
      <c r="A344" s="7">
        <v>42787.0</v>
      </c>
      <c r="B344" s="10" t="s">
        <v>374</v>
      </c>
      <c r="C344" s="212" t="s">
        <v>472</v>
      </c>
      <c r="D344" s="10" t="s">
        <v>369</v>
      </c>
      <c r="E344" s="10">
        <v>23.0</v>
      </c>
      <c r="F344" s="145">
        <v>105.6173</v>
      </c>
      <c r="G344" s="35">
        <v>-2437.7</v>
      </c>
      <c r="H344" s="226" t="str">
        <f t="shared" si="5"/>
        <v>Vanguard Extended Duration Treasury ETF@BUY@23@-2437.7</v>
      </c>
      <c r="I344" s="193">
        <f t="shared" si="1"/>
        <v>-2437.7</v>
      </c>
      <c r="J344" s="193" t="str">
        <f t="shared" si="2"/>
        <v>Vanguard Extended Duration Treasury ETF</v>
      </c>
      <c r="K344" s="126">
        <f t="shared" si="3"/>
        <v>0</v>
      </c>
      <c r="L344" s="126">
        <f t="shared" si="4"/>
        <v>-4941.36</v>
      </c>
      <c r="M344" s="195" t="str">
        <f>IF(AND($N344&lt;&gt;"",$O344&lt;&gt;0),MAXIFS(Investment!$L:$L,Investment!$D:$D,$N344),"")</f>
        <v/>
      </c>
      <c r="N344" s="187"/>
      <c r="P344" s="35"/>
    </row>
    <row r="345">
      <c r="A345" s="7">
        <v>42787.0</v>
      </c>
      <c r="B345" s="10" t="s">
        <v>371</v>
      </c>
      <c r="C345" s="212" t="s">
        <v>679</v>
      </c>
      <c r="D345" s="10" t="s">
        <v>381</v>
      </c>
      <c r="E345" s="10">
        <v>-16.0</v>
      </c>
      <c r="F345" s="145">
        <v>114.4055</v>
      </c>
      <c r="G345" s="35">
        <v>1821.99</v>
      </c>
      <c r="H345" s="226" t="str">
        <f t="shared" si="5"/>
        <v>Vanguard Total Stock Market ETF@SELL@-16@1821.99</v>
      </c>
      <c r="I345" s="193">
        <f t="shared" si="1"/>
        <v>1821.99</v>
      </c>
      <c r="J345" s="193" t="str">
        <f t="shared" si="2"/>
        <v>Vanguard Total Stock Market ETF</v>
      </c>
      <c r="K345" s="126">
        <f t="shared" si="3"/>
        <v>0</v>
      </c>
      <c r="L345" s="126">
        <f t="shared" si="4"/>
        <v>1880.34</v>
      </c>
      <c r="M345" s="195" t="str">
        <f>IF(AND($N345&lt;&gt;"",$O345&lt;&gt;0),MAXIFS(Investment!$L:$L,Investment!$D:$D,$N345),"")</f>
        <v/>
      </c>
      <c r="N345" s="187"/>
      <c r="P345" s="35"/>
    </row>
    <row r="346">
      <c r="A346" s="7">
        <v>42776.0</v>
      </c>
      <c r="B346" s="10" t="s">
        <v>379</v>
      </c>
      <c r="C346" s="212" t="s">
        <v>665</v>
      </c>
      <c r="D346" s="10" t="s">
        <v>376</v>
      </c>
      <c r="E346" s="10"/>
      <c r="F346" s="145"/>
      <c r="G346" s="35">
        <v>4.87</v>
      </c>
      <c r="H346" s="226" t="str">
        <f t="shared" si="5"/>
        <v>iShares 7-10 Year Treasury Bond ETF@DIVIDEND@@4.87</v>
      </c>
      <c r="I346" s="193" t="str">
        <f t="shared" si="1"/>
        <v/>
      </c>
      <c r="J346" s="193" t="str">
        <f t="shared" si="2"/>
        <v>iShares 7-10 Year Treasury Bond ETF</v>
      </c>
      <c r="K346" s="126">
        <f t="shared" si="3"/>
        <v>0</v>
      </c>
      <c r="L346" s="126">
        <f t="shared" si="4"/>
        <v>-345.82</v>
      </c>
      <c r="M346" s="195" t="str">
        <f>IF(AND($N346&lt;&gt;"",$O346&lt;&gt;0),MAXIFS(Investment!$L:$L,Investment!$D:$D,$N346),"")</f>
        <v/>
      </c>
      <c r="N346" s="187"/>
      <c r="P346" s="35"/>
    </row>
    <row r="347">
      <c r="A347" s="7">
        <v>42739.0</v>
      </c>
      <c r="B347" s="138"/>
      <c r="C347" s="220"/>
      <c r="D347" s="10" t="s">
        <v>362</v>
      </c>
      <c r="E347" s="138"/>
      <c r="F347" s="145"/>
      <c r="G347" s="35">
        <v>-0.18</v>
      </c>
      <c r="H347" s="226" t="str">
        <f t="shared" si="5"/>
        <v>@COST@@-0.18</v>
      </c>
      <c r="I347" s="193" t="str">
        <f t="shared" si="1"/>
        <v/>
      </c>
      <c r="J347" s="193" t="str">
        <f t="shared" si="2"/>
        <v/>
      </c>
      <c r="K347" s="126" t="str">
        <f t="shared" si="3"/>
        <v/>
      </c>
      <c r="L347" s="126" t="str">
        <f t="shared" si="4"/>
        <v/>
      </c>
      <c r="M347" s="195" t="str">
        <f>IF(AND($N347&lt;&gt;"",$O347&lt;&gt;0),MAXIFS(Investment!$L:$L,Investment!$D:$D,$N347),"")</f>
        <v/>
      </c>
      <c r="N347" s="187"/>
      <c r="P347" s="35"/>
    </row>
    <row r="348">
      <c r="A348" s="7">
        <v>42738.0</v>
      </c>
      <c r="B348" s="10" t="s">
        <v>379</v>
      </c>
      <c r="C348" s="212" t="s">
        <v>665</v>
      </c>
      <c r="D348" s="10" t="s">
        <v>376</v>
      </c>
      <c r="E348" s="10"/>
      <c r="F348" s="145"/>
      <c r="G348" s="35">
        <v>5.12</v>
      </c>
      <c r="H348" s="226" t="str">
        <f t="shared" si="5"/>
        <v>iShares 7-10 Year Treasury Bond ETF@DIVIDEND@@5.12</v>
      </c>
      <c r="I348" s="193" t="str">
        <f t="shared" si="1"/>
        <v/>
      </c>
      <c r="J348" s="193" t="str">
        <f t="shared" si="2"/>
        <v>iShares 7-10 Year Treasury Bond ETF</v>
      </c>
      <c r="K348" s="126">
        <f t="shared" si="3"/>
        <v>0</v>
      </c>
      <c r="L348" s="126">
        <f t="shared" si="4"/>
        <v>-345.82</v>
      </c>
      <c r="M348" s="195" t="str">
        <f>IF(AND($N348&lt;&gt;"",$O348&lt;&gt;0),MAXIFS(Investment!$L:$L,Investment!$D:$D,$N348),"")</f>
        <v/>
      </c>
      <c r="N348" s="187"/>
      <c r="P348" s="35"/>
    </row>
    <row r="349">
      <c r="A349" s="7">
        <v>42737.0</v>
      </c>
      <c r="B349" s="10" t="s">
        <v>374</v>
      </c>
      <c r="C349" s="212" t="s">
        <v>472</v>
      </c>
      <c r="D349" s="10" t="s">
        <v>376</v>
      </c>
      <c r="E349" s="10"/>
      <c r="F349" s="145"/>
      <c r="G349" s="35">
        <v>2.51</v>
      </c>
      <c r="H349" s="226" t="str">
        <f t="shared" si="5"/>
        <v>Vanguard Extended Duration Treasury ETF@DIVIDEND@@2.51</v>
      </c>
      <c r="I349" s="193" t="str">
        <f t="shared" si="1"/>
        <v/>
      </c>
      <c r="J349" s="193" t="str">
        <f t="shared" si="2"/>
        <v>Vanguard Extended Duration Treasury ETF</v>
      </c>
      <c r="K349" s="126">
        <f t="shared" si="3"/>
        <v>0</v>
      </c>
      <c r="L349" s="126">
        <f t="shared" si="4"/>
        <v>-4941.36</v>
      </c>
      <c r="M349" s="195" t="str">
        <f>IF(AND($N349&lt;&gt;"",$O349&lt;&gt;0),MAXIFS(Investment!$L:$L,Investment!$D:$D,$N349),"")</f>
        <v/>
      </c>
      <c r="N349" s="187"/>
      <c r="P349" s="35"/>
    </row>
    <row r="350">
      <c r="A350" s="7">
        <v>42737.0</v>
      </c>
      <c r="B350" s="10" t="s">
        <v>374</v>
      </c>
      <c r="C350" s="212" t="s">
        <v>472</v>
      </c>
      <c r="D350" s="10" t="s">
        <v>376</v>
      </c>
      <c r="E350" s="10"/>
      <c r="F350" s="145"/>
      <c r="G350" s="35">
        <v>230.23</v>
      </c>
      <c r="H350" s="226" t="str">
        <f t="shared" si="5"/>
        <v>Vanguard Extended Duration Treasury ETF@DIVIDEND@@230.23</v>
      </c>
      <c r="I350" s="193" t="str">
        <f t="shared" si="1"/>
        <v/>
      </c>
      <c r="J350" s="193" t="str">
        <f t="shared" si="2"/>
        <v>Vanguard Extended Duration Treasury ETF</v>
      </c>
      <c r="K350" s="126">
        <f t="shared" si="3"/>
        <v>0</v>
      </c>
      <c r="L350" s="126">
        <f t="shared" si="4"/>
        <v>-4941.36</v>
      </c>
      <c r="M350" s="195" t="str">
        <f>IF(AND($N350&lt;&gt;"",$O350&lt;&gt;0),MAXIFS(Investment!$L:$L,Investment!$D:$D,$N350),"")</f>
        <v/>
      </c>
      <c r="N350" s="187"/>
      <c r="P350" s="35"/>
    </row>
    <row r="351">
      <c r="A351" s="7">
        <v>42733.0</v>
      </c>
      <c r="B351" s="10" t="s">
        <v>374</v>
      </c>
      <c r="C351" s="212" t="s">
        <v>472</v>
      </c>
      <c r="D351" s="10" t="s">
        <v>376</v>
      </c>
      <c r="E351" s="10"/>
      <c r="F351" s="145"/>
      <c r="G351" s="35">
        <v>71.1</v>
      </c>
      <c r="H351" s="226" t="str">
        <f t="shared" si="5"/>
        <v>Vanguard Extended Duration Treasury ETF@DIVIDEND@@71.1</v>
      </c>
      <c r="I351" s="193" t="str">
        <f t="shared" si="1"/>
        <v/>
      </c>
      <c r="J351" s="193" t="str">
        <f t="shared" si="2"/>
        <v>Vanguard Extended Duration Treasury ETF</v>
      </c>
      <c r="K351" s="126">
        <f t="shared" si="3"/>
        <v>0</v>
      </c>
      <c r="L351" s="126">
        <f t="shared" si="4"/>
        <v>-4941.36</v>
      </c>
      <c r="M351" s="195" t="str">
        <f>IF(AND($N351&lt;&gt;"",$O351&lt;&gt;0),MAXIFS(Investment!$L:$L,Investment!$D:$D,$N351),"")</f>
        <v/>
      </c>
      <c r="N351" s="187"/>
      <c r="P351" s="35"/>
    </row>
    <row r="352">
      <c r="A352" s="7">
        <v>42733.0</v>
      </c>
      <c r="B352" s="10" t="s">
        <v>371</v>
      </c>
      <c r="C352" s="212" t="s">
        <v>679</v>
      </c>
      <c r="D352" s="10" t="s">
        <v>376</v>
      </c>
      <c r="E352" s="10"/>
      <c r="F352" s="145"/>
      <c r="G352" s="35">
        <v>46.16</v>
      </c>
      <c r="H352" s="226" t="str">
        <f t="shared" si="5"/>
        <v>Vanguard Total Stock Market ETF@DIVIDEND@@46.16</v>
      </c>
      <c r="I352" s="193" t="str">
        <f t="shared" si="1"/>
        <v/>
      </c>
      <c r="J352" s="193" t="str">
        <f t="shared" si="2"/>
        <v>Vanguard Total Stock Market ETF</v>
      </c>
      <c r="K352" s="126">
        <f t="shared" si="3"/>
        <v>0</v>
      </c>
      <c r="L352" s="126">
        <f t="shared" si="4"/>
        <v>1880.34</v>
      </c>
      <c r="M352" s="195" t="str">
        <f>IF(AND($N352&lt;&gt;"",$O352&lt;&gt;0),MAXIFS(Investment!$L:$L,Investment!$D:$D,$N352),"")</f>
        <v/>
      </c>
      <c r="N352" s="187"/>
      <c r="P352" s="35"/>
    </row>
    <row r="353">
      <c r="A353" s="7">
        <v>42713.0</v>
      </c>
      <c r="B353" s="10" t="s">
        <v>379</v>
      </c>
      <c r="C353" s="212" t="s">
        <v>665</v>
      </c>
      <c r="D353" s="10" t="s">
        <v>376</v>
      </c>
      <c r="E353" s="10"/>
      <c r="F353" s="145"/>
      <c r="G353" s="35">
        <v>4.57</v>
      </c>
      <c r="H353" s="226" t="str">
        <f t="shared" si="5"/>
        <v>iShares 7-10 Year Treasury Bond ETF@DIVIDEND@@4.57</v>
      </c>
      <c r="I353" s="193" t="str">
        <f t="shared" si="1"/>
        <v/>
      </c>
      <c r="J353" s="193" t="str">
        <f t="shared" si="2"/>
        <v>iShares 7-10 Year Treasury Bond ETF</v>
      </c>
      <c r="K353" s="126">
        <f t="shared" si="3"/>
        <v>0</v>
      </c>
      <c r="L353" s="126">
        <f t="shared" si="4"/>
        <v>-345.82</v>
      </c>
      <c r="M353" s="195" t="str">
        <f>IF(AND($N353&lt;&gt;"",$O353&lt;&gt;0),MAXIFS(Investment!$L:$L,Investment!$D:$D,$N353),"")</f>
        <v/>
      </c>
      <c r="N353" s="187"/>
      <c r="P353" s="35"/>
    </row>
    <row r="354">
      <c r="A354" s="7">
        <v>42683.0</v>
      </c>
      <c r="B354" s="10" t="s">
        <v>379</v>
      </c>
      <c r="C354" s="212" t="s">
        <v>665</v>
      </c>
      <c r="D354" s="10" t="s">
        <v>376</v>
      </c>
      <c r="E354" s="10"/>
      <c r="F354" s="145"/>
      <c r="G354" s="35">
        <v>4.57</v>
      </c>
      <c r="H354" s="226" t="str">
        <f t="shared" si="5"/>
        <v>iShares 7-10 Year Treasury Bond ETF@DIVIDEND@@4.57</v>
      </c>
      <c r="I354" s="193" t="str">
        <f t="shared" si="1"/>
        <v/>
      </c>
      <c r="J354" s="193" t="str">
        <f t="shared" si="2"/>
        <v>iShares 7-10 Year Treasury Bond ETF</v>
      </c>
      <c r="K354" s="126">
        <f t="shared" si="3"/>
        <v>0</v>
      </c>
      <c r="L354" s="126">
        <f t="shared" si="4"/>
        <v>-345.82</v>
      </c>
      <c r="M354" s="195" t="str">
        <f>IF(AND($N354&lt;&gt;"",$O354&lt;&gt;0),MAXIFS(Investment!$L:$L,Investment!$D:$D,$N354),"")</f>
        <v/>
      </c>
      <c r="N354" s="187"/>
      <c r="P354" s="35"/>
    </row>
    <row r="355">
      <c r="A355" s="7">
        <v>42653.0</v>
      </c>
      <c r="B355" s="138"/>
      <c r="C355" s="220"/>
      <c r="D355" s="244" t="s">
        <v>362</v>
      </c>
      <c r="E355" s="138"/>
      <c r="F355" s="145"/>
      <c r="G355" s="35">
        <v>-0.16</v>
      </c>
      <c r="H355" s="226" t="str">
        <f t="shared" si="5"/>
        <v>@COST@@-0.16</v>
      </c>
      <c r="I355" s="193" t="str">
        <f t="shared" si="1"/>
        <v/>
      </c>
      <c r="J355" s="193" t="str">
        <f t="shared" si="2"/>
        <v/>
      </c>
      <c r="K355" s="126" t="str">
        <f t="shared" si="3"/>
        <v/>
      </c>
      <c r="L355" s="126" t="str">
        <f t="shared" si="4"/>
        <v/>
      </c>
      <c r="M355" s="195" t="str">
        <f>IF(AND($N355&lt;&gt;"",$O355&lt;&gt;0),MAXIFS(Investment!$L:$L,Investment!$D:$D,$N355),"")</f>
        <v/>
      </c>
      <c r="N355" s="187"/>
      <c r="P355" s="35"/>
    </row>
    <row r="356">
      <c r="A356" s="7">
        <v>42644.0</v>
      </c>
      <c r="B356" s="10" t="s">
        <v>379</v>
      </c>
      <c r="C356" s="212" t="s">
        <v>665</v>
      </c>
      <c r="D356" s="10" t="s">
        <v>376</v>
      </c>
      <c r="E356" s="10"/>
      <c r="F356" s="145"/>
      <c r="G356" s="35">
        <v>4.4</v>
      </c>
      <c r="H356" s="226" t="str">
        <f t="shared" si="5"/>
        <v>iShares 7-10 Year Treasury Bond ETF@DIVIDEND@@4.4</v>
      </c>
      <c r="I356" s="193" t="str">
        <f t="shared" si="1"/>
        <v/>
      </c>
      <c r="J356" s="193" t="str">
        <f t="shared" si="2"/>
        <v>iShares 7-10 Year Treasury Bond ETF</v>
      </c>
      <c r="K356" s="126">
        <f t="shared" si="3"/>
        <v>0</v>
      </c>
      <c r="L356" s="126">
        <f t="shared" si="4"/>
        <v>-345.82</v>
      </c>
      <c r="M356" s="195" t="str">
        <f>IF(AND($N356&lt;&gt;"",$O356&lt;&gt;0),MAXIFS(Investment!$L:$L,Investment!$D:$D,$N356),"")</f>
        <v/>
      </c>
      <c r="N356" s="187"/>
      <c r="P356" s="35"/>
    </row>
    <row r="357">
      <c r="A357" s="7">
        <v>42641.0</v>
      </c>
      <c r="B357" s="10" t="s">
        <v>374</v>
      </c>
      <c r="C357" s="212" t="s">
        <v>472</v>
      </c>
      <c r="D357" s="10" t="s">
        <v>376</v>
      </c>
      <c r="E357" s="10"/>
      <c r="F357" s="145"/>
      <c r="G357" s="35">
        <v>58.66</v>
      </c>
      <c r="H357" s="226" t="str">
        <f t="shared" si="5"/>
        <v>Vanguard Extended Duration Treasury ETF@DIVIDEND@@58.66</v>
      </c>
      <c r="I357" s="193" t="str">
        <f t="shared" si="1"/>
        <v/>
      </c>
      <c r="J357" s="193" t="str">
        <f t="shared" si="2"/>
        <v>Vanguard Extended Duration Treasury ETF</v>
      </c>
      <c r="K357" s="126">
        <f t="shared" si="3"/>
        <v>0</v>
      </c>
      <c r="L357" s="126">
        <f t="shared" si="4"/>
        <v>-4941.36</v>
      </c>
      <c r="M357" s="195" t="str">
        <f>IF(AND($N357&lt;&gt;"",$O357&lt;&gt;0),MAXIFS(Investment!$L:$L,Investment!$D:$D,$N357),"")</f>
        <v/>
      </c>
      <c r="N357" s="187"/>
      <c r="P357" s="35"/>
    </row>
    <row r="358">
      <c r="A358" s="7">
        <v>42634.0</v>
      </c>
      <c r="B358" s="10" t="s">
        <v>371</v>
      </c>
      <c r="C358" s="212" t="s">
        <v>679</v>
      </c>
      <c r="D358" s="10" t="s">
        <v>376</v>
      </c>
      <c r="E358" s="10"/>
      <c r="F358" s="145"/>
      <c r="G358" s="35">
        <v>31.85</v>
      </c>
      <c r="H358" s="226" t="str">
        <f t="shared" si="5"/>
        <v>Vanguard Total Stock Market ETF@DIVIDEND@@31.85</v>
      </c>
      <c r="I358" s="193" t="str">
        <f t="shared" si="1"/>
        <v/>
      </c>
      <c r="J358" s="193" t="str">
        <f t="shared" si="2"/>
        <v>Vanguard Total Stock Market ETF</v>
      </c>
      <c r="K358" s="126">
        <f t="shared" si="3"/>
        <v>0</v>
      </c>
      <c r="L358" s="126">
        <f t="shared" si="4"/>
        <v>1880.34</v>
      </c>
      <c r="M358" s="195" t="str">
        <f>IF(AND($N358&lt;&gt;"",$O358&lt;&gt;0),MAXIFS(Investment!$L:$L,Investment!$D:$D,$N358),"")</f>
        <v/>
      </c>
      <c r="N358" s="187"/>
      <c r="P358" s="35"/>
    </row>
    <row r="359">
      <c r="A359" s="7">
        <v>42632.0</v>
      </c>
      <c r="B359" s="10" t="s">
        <v>379</v>
      </c>
      <c r="C359" s="212" t="s">
        <v>665</v>
      </c>
      <c r="D359" s="10" t="s">
        <v>376</v>
      </c>
      <c r="E359" s="10"/>
      <c r="F359" s="145"/>
      <c r="G359" s="35">
        <v>3.31</v>
      </c>
      <c r="H359" s="226" t="str">
        <f t="shared" si="5"/>
        <v>iShares 7-10 Year Treasury Bond ETF@DIVIDEND@@3.31</v>
      </c>
      <c r="I359" s="193" t="str">
        <f t="shared" si="1"/>
        <v/>
      </c>
      <c r="J359" s="193" t="str">
        <f t="shared" si="2"/>
        <v>iShares 7-10 Year Treasury Bond ETF</v>
      </c>
      <c r="K359" s="126">
        <f t="shared" si="3"/>
        <v>0</v>
      </c>
      <c r="L359" s="126">
        <f t="shared" si="4"/>
        <v>-345.82</v>
      </c>
      <c r="M359" s="195" t="str">
        <f>IF(AND($N359&lt;&gt;"",$O359&lt;&gt;0),MAXIFS(Investment!$L:$L,Investment!$D:$D,$N359),"")</f>
        <v/>
      </c>
      <c r="N359" s="187"/>
      <c r="P359" s="35"/>
    </row>
    <row r="360">
      <c r="A360" s="7">
        <v>42632.0</v>
      </c>
      <c r="B360" s="10" t="s">
        <v>374</v>
      </c>
      <c r="C360" s="212" t="s">
        <v>472</v>
      </c>
      <c r="D360" s="10" t="s">
        <v>376</v>
      </c>
      <c r="E360" s="10"/>
      <c r="F360" s="145"/>
      <c r="G360" s="35">
        <v>21.31</v>
      </c>
      <c r="H360" s="226" t="str">
        <f t="shared" si="5"/>
        <v>Vanguard Extended Duration Treasury ETF@DIVIDEND@@21.31</v>
      </c>
      <c r="I360" s="193" t="str">
        <f t="shared" si="1"/>
        <v/>
      </c>
      <c r="J360" s="193" t="str">
        <f t="shared" si="2"/>
        <v>Vanguard Extended Duration Treasury ETF</v>
      </c>
      <c r="K360" s="126">
        <f t="shared" si="3"/>
        <v>0</v>
      </c>
      <c r="L360" s="126">
        <f t="shared" si="4"/>
        <v>-4941.36</v>
      </c>
      <c r="M360" s="195" t="str">
        <f>IF(AND($N360&lt;&gt;"",$O360&lt;&gt;0),MAXIFS(Investment!$L:$L,Investment!$D:$D,$N360),"")</f>
        <v/>
      </c>
      <c r="N360" s="187"/>
      <c r="P360" s="35"/>
    </row>
    <row r="361">
      <c r="A361" s="7">
        <v>42625.0</v>
      </c>
      <c r="B361" s="10" t="s">
        <v>379</v>
      </c>
      <c r="C361" s="212" t="s">
        <v>665</v>
      </c>
      <c r="D361" s="10" t="s">
        <v>376</v>
      </c>
      <c r="E361" s="10"/>
      <c r="F361" s="145"/>
      <c r="G361" s="35">
        <v>4.53</v>
      </c>
      <c r="H361" s="226" t="str">
        <f t="shared" si="5"/>
        <v>iShares 7-10 Year Treasury Bond ETF@DIVIDEND@@4.53</v>
      </c>
      <c r="I361" s="193" t="str">
        <f t="shared" si="1"/>
        <v/>
      </c>
      <c r="J361" s="193" t="str">
        <f t="shared" si="2"/>
        <v>iShares 7-10 Year Treasury Bond ETF</v>
      </c>
      <c r="K361" s="126">
        <f t="shared" si="3"/>
        <v>0</v>
      </c>
      <c r="L361" s="126">
        <f t="shared" si="4"/>
        <v>-345.82</v>
      </c>
      <c r="M361" s="195" t="str">
        <f>IF(AND($N361&lt;&gt;"",$O361&lt;&gt;0),MAXIFS(Investment!$L:$L,Investment!$D:$D,$N361),"")</f>
        <v/>
      </c>
      <c r="N361" s="187"/>
      <c r="P361" s="35"/>
    </row>
    <row r="362">
      <c r="A362" s="7">
        <v>42605.0</v>
      </c>
      <c r="B362" s="10" t="s">
        <v>379</v>
      </c>
      <c r="C362" s="212" t="s">
        <v>665</v>
      </c>
      <c r="D362" s="10" t="s">
        <v>376</v>
      </c>
      <c r="E362" s="10"/>
      <c r="F362" s="145"/>
      <c r="G362" s="35">
        <v>4.7</v>
      </c>
      <c r="H362" s="226" t="str">
        <f t="shared" si="5"/>
        <v>iShares 7-10 Year Treasury Bond ETF@DIVIDEND@@4.7</v>
      </c>
      <c r="I362" s="193" t="str">
        <f t="shared" si="1"/>
        <v/>
      </c>
      <c r="J362" s="193" t="str">
        <f t="shared" si="2"/>
        <v>iShares 7-10 Year Treasury Bond ETF</v>
      </c>
      <c r="K362" s="126">
        <f t="shared" si="3"/>
        <v>0</v>
      </c>
      <c r="L362" s="126">
        <f t="shared" si="4"/>
        <v>-345.82</v>
      </c>
      <c r="M362" s="195" t="str">
        <f>IF(AND($N362&lt;&gt;"",$O362&lt;&gt;0),MAXIFS(Investment!$L:$L,Investment!$D:$D,$N362),"")</f>
        <v/>
      </c>
      <c r="N362" s="187"/>
      <c r="P362" s="35"/>
    </row>
    <row r="363">
      <c r="A363" s="7">
        <v>42563.0</v>
      </c>
      <c r="B363" s="10" t="s">
        <v>379</v>
      </c>
      <c r="C363" s="212" t="s">
        <v>665</v>
      </c>
      <c r="D363" s="10" t="s">
        <v>376</v>
      </c>
      <c r="E363" s="10"/>
      <c r="F363" s="145"/>
      <c r="G363" s="35">
        <v>4.69</v>
      </c>
      <c r="H363" s="226" t="str">
        <f t="shared" si="5"/>
        <v>iShares 7-10 Year Treasury Bond ETF@DIVIDEND@@4.69</v>
      </c>
      <c r="I363" s="193" t="str">
        <f t="shared" si="1"/>
        <v/>
      </c>
      <c r="J363" s="193" t="str">
        <f t="shared" si="2"/>
        <v>iShares 7-10 Year Treasury Bond ETF</v>
      </c>
      <c r="K363" s="126">
        <f t="shared" si="3"/>
        <v>0</v>
      </c>
      <c r="L363" s="126">
        <f t="shared" si="4"/>
        <v>-345.82</v>
      </c>
      <c r="M363" s="195" t="str">
        <f>IF(AND($N363&lt;&gt;"",$O363&lt;&gt;0),MAXIFS(Investment!$L:$L,Investment!$D:$D,$N363),"")</f>
        <v/>
      </c>
      <c r="N363" s="187"/>
      <c r="P363" s="35"/>
    </row>
    <row r="364">
      <c r="A364" s="7">
        <v>42557.0</v>
      </c>
      <c r="B364" s="138"/>
      <c r="C364" s="220"/>
      <c r="D364" s="244" t="s">
        <v>362</v>
      </c>
      <c r="E364" s="138"/>
      <c r="F364" s="145"/>
      <c r="G364" s="35">
        <v>-0.17</v>
      </c>
      <c r="H364" s="226" t="str">
        <f t="shared" si="5"/>
        <v>@COST@@-0.17</v>
      </c>
      <c r="I364" s="193" t="str">
        <f t="shared" si="1"/>
        <v/>
      </c>
      <c r="J364" s="193" t="str">
        <f t="shared" si="2"/>
        <v/>
      </c>
      <c r="K364" s="126" t="str">
        <f t="shared" si="3"/>
        <v/>
      </c>
      <c r="L364" s="126" t="str">
        <f t="shared" si="4"/>
        <v/>
      </c>
      <c r="M364" s="195" t="str">
        <f>IF(AND($N364&lt;&gt;"",$O364&lt;&gt;0),MAXIFS(Investment!$L:$L,Investment!$D:$D,$N364),"")</f>
        <v/>
      </c>
      <c r="N364" s="187"/>
      <c r="P364" s="35"/>
    </row>
    <row r="365">
      <c r="A365" s="7">
        <v>42551.0</v>
      </c>
      <c r="B365" s="10" t="s">
        <v>371</v>
      </c>
      <c r="C365" s="212" t="s">
        <v>679</v>
      </c>
      <c r="D365" s="10" t="s">
        <v>376</v>
      </c>
      <c r="E365" s="10"/>
      <c r="F365" s="145"/>
      <c r="G365" s="35">
        <v>27.41</v>
      </c>
      <c r="H365" s="226" t="str">
        <f t="shared" si="5"/>
        <v>Vanguard Total Stock Market ETF@DIVIDEND@@27.41</v>
      </c>
      <c r="I365" s="193" t="str">
        <f t="shared" si="1"/>
        <v/>
      </c>
      <c r="J365" s="193" t="str">
        <f t="shared" si="2"/>
        <v>Vanguard Total Stock Market ETF</v>
      </c>
      <c r="K365" s="126">
        <f t="shared" si="3"/>
        <v>0</v>
      </c>
      <c r="L365" s="126">
        <f t="shared" si="4"/>
        <v>1880.34</v>
      </c>
      <c r="M365" s="195" t="str">
        <f>IF(AND($N365&lt;&gt;"",$O365&lt;&gt;0),MAXIFS(Investment!$L:$L,Investment!$D:$D,$N365),"")</f>
        <v/>
      </c>
      <c r="N365" s="187"/>
      <c r="P365" s="35"/>
    </row>
    <row r="366">
      <c r="A366" s="7">
        <v>42550.0</v>
      </c>
      <c r="B366" s="10" t="s">
        <v>374</v>
      </c>
      <c r="C366" s="212" t="s">
        <v>472</v>
      </c>
      <c r="D366" s="10" t="s">
        <v>376</v>
      </c>
      <c r="E366" s="10"/>
      <c r="F366" s="145"/>
      <c r="G366" s="35">
        <v>56.25</v>
      </c>
      <c r="H366" s="226" t="str">
        <f t="shared" si="5"/>
        <v>Vanguard Extended Duration Treasury ETF@DIVIDEND@@56.25</v>
      </c>
      <c r="I366" s="193" t="str">
        <f t="shared" si="1"/>
        <v/>
      </c>
      <c r="J366" s="193" t="str">
        <f t="shared" si="2"/>
        <v>Vanguard Extended Duration Treasury ETF</v>
      </c>
      <c r="K366" s="126">
        <f t="shared" si="3"/>
        <v>0</v>
      </c>
      <c r="L366" s="126">
        <f t="shared" si="4"/>
        <v>-4941.36</v>
      </c>
      <c r="M366" s="195" t="str">
        <f>IF(AND($N366&lt;&gt;"",$O366&lt;&gt;0),MAXIFS(Investment!$L:$L,Investment!$D:$D,$N366),"")</f>
        <v/>
      </c>
      <c r="N366" s="187"/>
      <c r="P366" s="35"/>
    </row>
    <row r="367">
      <c r="A367" s="7">
        <v>42536.0</v>
      </c>
      <c r="B367" s="10" t="s">
        <v>379</v>
      </c>
      <c r="C367" s="212" t="s">
        <v>665</v>
      </c>
      <c r="D367" s="10" t="s">
        <v>376</v>
      </c>
      <c r="E367" s="10"/>
      <c r="F367" s="145"/>
      <c r="G367" s="35">
        <v>4.72</v>
      </c>
      <c r="H367" s="226" t="str">
        <f t="shared" si="5"/>
        <v>iShares 7-10 Year Treasury Bond ETF@DIVIDEND@@4.72</v>
      </c>
      <c r="I367" s="193" t="str">
        <f t="shared" si="1"/>
        <v/>
      </c>
      <c r="J367" s="193" t="str">
        <f t="shared" si="2"/>
        <v>iShares 7-10 Year Treasury Bond ETF</v>
      </c>
      <c r="K367" s="126">
        <f t="shared" si="3"/>
        <v>0</v>
      </c>
      <c r="L367" s="126">
        <f t="shared" si="4"/>
        <v>-345.82</v>
      </c>
      <c r="M367" s="195" t="str">
        <f>IF(AND($N367&lt;&gt;"",$O367&lt;&gt;0),MAXIFS(Investment!$L:$L,Investment!$D:$D,$N367),"")</f>
        <v/>
      </c>
      <c r="N367" s="187"/>
      <c r="P367" s="35"/>
    </row>
    <row r="368">
      <c r="A368" s="7">
        <v>42501.0</v>
      </c>
      <c r="B368" s="10" t="s">
        <v>379</v>
      </c>
      <c r="C368" s="212" t="s">
        <v>665</v>
      </c>
      <c r="D368" s="10" t="s">
        <v>376</v>
      </c>
      <c r="E368" s="10"/>
      <c r="F368" s="145"/>
      <c r="G368" s="35">
        <v>4.65</v>
      </c>
      <c r="H368" s="226" t="str">
        <f t="shared" si="5"/>
        <v>iShares 7-10 Year Treasury Bond ETF@DIVIDEND@@4.65</v>
      </c>
      <c r="I368" s="193" t="str">
        <f t="shared" si="1"/>
        <v/>
      </c>
      <c r="J368" s="193" t="str">
        <f t="shared" si="2"/>
        <v>iShares 7-10 Year Treasury Bond ETF</v>
      </c>
      <c r="K368" s="126">
        <f t="shared" si="3"/>
        <v>0</v>
      </c>
      <c r="L368" s="126">
        <f t="shared" si="4"/>
        <v>-345.82</v>
      </c>
      <c r="M368" s="195" t="str">
        <f>IF(AND($N368&lt;&gt;"",$O368&lt;&gt;0),MAXIFS(Investment!$L:$L,Investment!$D:$D,$N368),"")</f>
        <v/>
      </c>
      <c r="N368" s="187"/>
      <c r="P368" s="35"/>
    </row>
    <row r="369">
      <c r="A369" s="7">
        <v>42478.0</v>
      </c>
      <c r="B369" s="10" t="s">
        <v>379</v>
      </c>
      <c r="C369" s="212" t="s">
        <v>665</v>
      </c>
      <c r="D369" s="10" t="s">
        <v>369</v>
      </c>
      <c r="E369" s="10">
        <v>11.0</v>
      </c>
      <c r="F369" s="145">
        <v>97.7077</v>
      </c>
      <c r="G369" s="35">
        <v>-1083.28</v>
      </c>
      <c r="H369" s="226" t="str">
        <f t="shared" si="5"/>
        <v>iShares 7-10 Year Treasury Bond ETF@BUY@11@-1083.28</v>
      </c>
      <c r="I369" s="193">
        <f t="shared" si="1"/>
        <v>-1083.28</v>
      </c>
      <c r="J369" s="193" t="str">
        <f t="shared" si="2"/>
        <v>iShares 7-10 Year Treasury Bond ETF</v>
      </c>
      <c r="K369" s="126">
        <f t="shared" si="3"/>
        <v>0</v>
      </c>
      <c r="L369" s="126">
        <f t="shared" si="4"/>
        <v>-345.82</v>
      </c>
      <c r="M369" s="195" t="str">
        <f>IF(AND($N369&lt;&gt;"",$O369&lt;&gt;0),MAXIFS(Investment!$L:$L,Investment!$D:$D,$N369),"")</f>
        <v/>
      </c>
      <c r="N369" s="187"/>
      <c r="P369" s="35"/>
    </row>
    <row r="370">
      <c r="A370" s="7">
        <v>42478.0</v>
      </c>
      <c r="B370" s="10" t="s">
        <v>374</v>
      </c>
      <c r="C370" s="212" t="s">
        <v>472</v>
      </c>
      <c r="D370" s="10" t="s">
        <v>369</v>
      </c>
      <c r="E370" s="10">
        <v>19.0</v>
      </c>
      <c r="F370" s="145">
        <v>112.6586</v>
      </c>
      <c r="G370" s="35">
        <v>-2149.01</v>
      </c>
      <c r="H370" s="226" t="str">
        <f t="shared" si="5"/>
        <v>Vanguard Extended Duration Treasury ETF@BUY@19@-2149.01</v>
      </c>
      <c r="I370" s="193">
        <f t="shared" si="1"/>
        <v>-2149.01</v>
      </c>
      <c r="J370" s="193" t="str">
        <f t="shared" si="2"/>
        <v>Vanguard Extended Duration Treasury ETF</v>
      </c>
      <c r="K370" s="126">
        <f t="shared" si="3"/>
        <v>0</v>
      </c>
      <c r="L370" s="126">
        <f t="shared" si="4"/>
        <v>-4941.36</v>
      </c>
      <c r="M370" s="195" t="str">
        <f>IF(AND($N370&lt;&gt;"",$O370&lt;&gt;0),MAXIFS(Investment!$L:$L,Investment!$D:$D,$N370),"")</f>
        <v/>
      </c>
      <c r="N370" s="187"/>
      <c r="P370" s="35"/>
    </row>
    <row r="371">
      <c r="A371" s="7">
        <v>42478.0</v>
      </c>
      <c r="B371" s="10" t="s">
        <v>371</v>
      </c>
      <c r="C371" s="212" t="s">
        <v>679</v>
      </c>
      <c r="D371" s="10" t="s">
        <v>369</v>
      </c>
      <c r="E371" s="10">
        <v>21.0</v>
      </c>
      <c r="F371" s="145">
        <v>94.3352</v>
      </c>
      <c r="G371" s="35">
        <v>-1989.54</v>
      </c>
      <c r="H371" s="226" t="str">
        <f t="shared" si="5"/>
        <v>Vanguard Total Stock Market ETF@BUY@21@-1989.54</v>
      </c>
      <c r="I371" s="193">
        <f t="shared" si="1"/>
        <v>-1989.54</v>
      </c>
      <c r="J371" s="193" t="str">
        <f t="shared" si="2"/>
        <v>Vanguard Total Stock Market ETF</v>
      </c>
      <c r="K371" s="126">
        <f t="shared" si="3"/>
        <v>0</v>
      </c>
      <c r="L371" s="126">
        <f t="shared" si="4"/>
        <v>1880.34</v>
      </c>
      <c r="M371" s="195" t="str">
        <f>IF(AND($N371&lt;&gt;"",$O371&lt;&gt;0),MAXIFS(Investment!$L:$L,Investment!$D:$D,$N371),"")</f>
        <v/>
      </c>
      <c r="N371" s="187"/>
      <c r="P371" s="35"/>
    </row>
    <row r="372">
      <c r="A372" s="7">
        <v>42471.0</v>
      </c>
      <c r="B372" s="10" t="s">
        <v>379</v>
      </c>
      <c r="C372" s="212" t="s">
        <v>665</v>
      </c>
      <c r="D372" s="10" t="s">
        <v>376</v>
      </c>
      <c r="E372" s="10"/>
      <c r="F372" s="145"/>
      <c r="G372" s="35">
        <v>4.08</v>
      </c>
      <c r="H372" s="226" t="str">
        <f t="shared" si="5"/>
        <v>iShares 7-10 Year Treasury Bond ETF@DIVIDEND@@4.08</v>
      </c>
      <c r="I372" s="193" t="str">
        <f t="shared" si="1"/>
        <v/>
      </c>
      <c r="J372" s="193" t="str">
        <f t="shared" si="2"/>
        <v>iShares 7-10 Year Treasury Bond ETF</v>
      </c>
      <c r="K372" s="126">
        <f t="shared" si="3"/>
        <v>0</v>
      </c>
      <c r="L372" s="126">
        <f t="shared" si="4"/>
        <v>-345.82</v>
      </c>
      <c r="M372" s="195" t="str">
        <f>IF(AND($N372&lt;&gt;"",$O372&lt;&gt;0),MAXIFS(Investment!$L:$L,Investment!$D:$D,$N372),"")</f>
        <v/>
      </c>
      <c r="N372" s="187"/>
      <c r="P372" s="35"/>
    </row>
    <row r="373">
      <c r="A373" s="7">
        <v>42459.0</v>
      </c>
      <c r="B373" s="10" t="s">
        <v>374</v>
      </c>
      <c r="C373" s="212" t="s">
        <v>472</v>
      </c>
      <c r="D373" s="10" t="s">
        <v>376</v>
      </c>
      <c r="E373" s="10"/>
      <c r="F373" s="145"/>
      <c r="G373" s="35">
        <v>41.4</v>
      </c>
      <c r="H373" s="226" t="str">
        <f t="shared" si="5"/>
        <v>Vanguard Extended Duration Treasury ETF@DIVIDEND@@41.4</v>
      </c>
      <c r="I373" s="193" t="str">
        <f t="shared" si="1"/>
        <v/>
      </c>
      <c r="J373" s="193" t="str">
        <f t="shared" si="2"/>
        <v>Vanguard Extended Duration Treasury ETF</v>
      </c>
      <c r="K373" s="126">
        <f t="shared" si="3"/>
        <v>0</v>
      </c>
      <c r="L373" s="126">
        <f t="shared" si="4"/>
        <v>-4941.36</v>
      </c>
      <c r="M373" s="195" t="str">
        <f>IF(AND($N373&lt;&gt;"",$O373&lt;&gt;0),MAXIFS(Investment!$L:$L,Investment!$D:$D,$N373),"")</f>
        <v/>
      </c>
      <c r="N373" s="187"/>
      <c r="P373" s="35"/>
    </row>
    <row r="374">
      <c r="A374" s="7">
        <v>42452.0</v>
      </c>
      <c r="B374" s="10" t="s">
        <v>371</v>
      </c>
      <c r="C374" s="212" t="s">
        <v>679</v>
      </c>
      <c r="D374" s="10" t="s">
        <v>376</v>
      </c>
      <c r="E374" s="10"/>
      <c r="F374" s="145"/>
      <c r="G374" s="35">
        <v>23.94</v>
      </c>
      <c r="H374" s="226" t="str">
        <f t="shared" si="5"/>
        <v>Vanguard Total Stock Market ETF@DIVIDEND@@23.94</v>
      </c>
      <c r="I374" s="193" t="str">
        <f t="shared" si="1"/>
        <v/>
      </c>
      <c r="J374" s="193" t="str">
        <f t="shared" si="2"/>
        <v>Vanguard Total Stock Market ETF</v>
      </c>
      <c r="K374" s="126">
        <f t="shared" si="3"/>
        <v>0</v>
      </c>
      <c r="L374" s="126">
        <f t="shared" si="4"/>
        <v>1880.34</v>
      </c>
      <c r="M374" s="195" t="str">
        <f>IF(AND($N374&lt;&gt;"",$O374&lt;&gt;0),MAXIFS(Investment!$L:$L,Investment!$D:$D,$N374),"")</f>
        <v/>
      </c>
      <c r="N374" s="187"/>
      <c r="P374" s="35"/>
    </row>
    <row r="375">
      <c r="A375" s="7">
        <v>42437.0</v>
      </c>
      <c r="B375" s="10" t="s">
        <v>379</v>
      </c>
      <c r="C375" s="212" t="s">
        <v>665</v>
      </c>
      <c r="D375" s="10" t="s">
        <v>376</v>
      </c>
      <c r="E375" s="10"/>
      <c r="F375" s="145"/>
      <c r="G375" s="35">
        <v>3.92</v>
      </c>
      <c r="H375" s="226" t="str">
        <f t="shared" si="5"/>
        <v>iShares 7-10 Year Treasury Bond ETF@DIVIDEND@@3.92</v>
      </c>
      <c r="I375" s="193" t="str">
        <f t="shared" si="1"/>
        <v/>
      </c>
      <c r="J375" s="193" t="str">
        <f t="shared" si="2"/>
        <v>iShares 7-10 Year Treasury Bond ETF</v>
      </c>
      <c r="K375" s="126">
        <f t="shared" si="3"/>
        <v>0</v>
      </c>
      <c r="L375" s="126">
        <f t="shared" si="4"/>
        <v>-345.82</v>
      </c>
      <c r="M375" s="195" t="str">
        <f>IF(AND($N375&lt;&gt;"",$O375&lt;&gt;0),MAXIFS(Investment!$L:$L,Investment!$D:$D,$N375),"")</f>
        <v/>
      </c>
      <c r="N375" s="187"/>
      <c r="P375" s="35"/>
    </row>
    <row r="376">
      <c r="A376" s="7">
        <v>42409.0</v>
      </c>
      <c r="B376" s="10" t="s">
        <v>379</v>
      </c>
      <c r="C376" s="212" t="s">
        <v>665</v>
      </c>
      <c r="D376" s="10" t="s">
        <v>376</v>
      </c>
      <c r="E376" s="10"/>
      <c r="F376" s="145"/>
      <c r="G376" s="35">
        <v>3.92</v>
      </c>
      <c r="H376" s="226" t="str">
        <f t="shared" si="5"/>
        <v>iShares 7-10 Year Treasury Bond ETF@DIVIDEND@@3.92</v>
      </c>
      <c r="I376" s="193" t="str">
        <f t="shared" si="1"/>
        <v/>
      </c>
      <c r="J376" s="193" t="str">
        <f t="shared" si="2"/>
        <v>iShares 7-10 Year Treasury Bond ETF</v>
      </c>
      <c r="K376" s="126">
        <f t="shared" si="3"/>
        <v>0</v>
      </c>
      <c r="L376" s="126">
        <f t="shared" si="4"/>
        <v>-345.82</v>
      </c>
      <c r="M376" s="195" t="str">
        <f>IF(AND($N376&lt;&gt;"",$O376&lt;&gt;0),MAXIFS(Investment!$L:$L,Investment!$D:$D,$N376),"")</f>
        <v/>
      </c>
      <c r="N376" s="187"/>
      <c r="P376" s="35"/>
    </row>
    <row r="377">
      <c r="A377" s="7">
        <v>42375.0</v>
      </c>
      <c r="B377" s="138"/>
      <c r="C377" s="220"/>
      <c r="D377" s="244" t="s">
        <v>362</v>
      </c>
      <c r="E377" s="138"/>
      <c r="F377" s="145"/>
      <c r="G377" s="35">
        <v>-0.22</v>
      </c>
      <c r="H377" s="226" t="str">
        <f t="shared" si="5"/>
        <v>@COST@@-0.22</v>
      </c>
      <c r="I377" s="193" t="str">
        <f t="shared" si="1"/>
        <v/>
      </c>
      <c r="J377" s="193" t="str">
        <f t="shared" si="2"/>
        <v/>
      </c>
      <c r="K377" s="126" t="str">
        <f t="shared" si="3"/>
        <v/>
      </c>
      <c r="L377" s="126" t="str">
        <f t="shared" si="4"/>
        <v/>
      </c>
      <c r="M377" s="195" t="str">
        <f>IF(AND($N377&lt;&gt;"",$O377&lt;&gt;0),MAXIFS(Investment!$L:$L,Investment!$D:$D,$N377),"")</f>
        <v/>
      </c>
      <c r="N377" s="187"/>
      <c r="P377" s="35"/>
    </row>
    <row r="378">
      <c r="A378" s="7">
        <v>42374.0</v>
      </c>
      <c r="B378" s="10" t="s">
        <v>371</v>
      </c>
      <c r="C378" s="212" t="s">
        <v>679</v>
      </c>
      <c r="D378" s="10" t="s">
        <v>376</v>
      </c>
      <c r="E378" s="10"/>
      <c r="F378" s="145"/>
      <c r="G378" s="35">
        <v>29.75</v>
      </c>
      <c r="H378" s="226" t="str">
        <f t="shared" si="5"/>
        <v>Vanguard Total Stock Market ETF@DIVIDEND@@29.75</v>
      </c>
      <c r="I378" s="193" t="str">
        <f t="shared" si="1"/>
        <v/>
      </c>
      <c r="J378" s="193" t="str">
        <f t="shared" si="2"/>
        <v>Vanguard Total Stock Market ETF</v>
      </c>
      <c r="K378" s="126">
        <f t="shared" si="3"/>
        <v>0</v>
      </c>
      <c r="L378" s="126">
        <f t="shared" si="4"/>
        <v>1880.34</v>
      </c>
      <c r="M378" s="195" t="str">
        <f>IF(AND($N378&lt;&gt;"",$O378&lt;&gt;0),MAXIFS(Investment!$L:$L,Investment!$D:$D,$N378),"")</f>
        <v/>
      </c>
      <c r="N378" s="187"/>
      <c r="P378" s="35"/>
    </row>
    <row r="379">
      <c r="A379" s="7">
        <v>42374.0</v>
      </c>
      <c r="B379" s="10" t="s">
        <v>379</v>
      </c>
      <c r="C379" s="212" t="s">
        <v>665</v>
      </c>
      <c r="D379" s="10" t="s">
        <v>376</v>
      </c>
      <c r="E379" s="10"/>
      <c r="F379" s="145"/>
      <c r="G379" s="35">
        <v>4.14</v>
      </c>
      <c r="H379" s="226" t="str">
        <f t="shared" si="5"/>
        <v>iShares 7-10 Year Treasury Bond ETF@DIVIDEND@@4.14</v>
      </c>
      <c r="I379" s="193" t="str">
        <f t="shared" si="1"/>
        <v/>
      </c>
      <c r="J379" s="193" t="str">
        <f t="shared" si="2"/>
        <v>iShares 7-10 Year Treasury Bond ETF</v>
      </c>
      <c r="K379" s="126">
        <f t="shared" si="3"/>
        <v>0</v>
      </c>
      <c r="L379" s="126">
        <f t="shared" si="4"/>
        <v>-345.82</v>
      </c>
      <c r="M379" s="195" t="str">
        <f>IF(AND($N379&lt;&gt;"",$O379&lt;&gt;0),MAXIFS(Investment!$L:$L,Investment!$D:$D,$N379),"")</f>
        <v/>
      </c>
      <c r="N379" s="187"/>
      <c r="P379" s="35"/>
    </row>
    <row r="380">
      <c r="A380" s="7">
        <v>42373.0</v>
      </c>
      <c r="B380" s="10" t="s">
        <v>374</v>
      </c>
      <c r="C380" s="212" t="s">
        <v>472</v>
      </c>
      <c r="D380" s="10" t="s">
        <v>376</v>
      </c>
      <c r="E380" s="10"/>
      <c r="F380" s="145"/>
      <c r="G380" s="35">
        <v>61.86</v>
      </c>
      <c r="H380" s="226" t="str">
        <f t="shared" si="5"/>
        <v>Vanguard Extended Duration Treasury ETF@DIVIDEND@@61.86</v>
      </c>
      <c r="I380" s="193" t="str">
        <f t="shared" si="1"/>
        <v/>
      </c>
      <c r="J380" s="193" t="str">
        <f t="shared" si="2"/>
        <v>Vanguard Extended Duration Treasury ETF</v>
      </c>
      <c r="K380" s="126">
        <f t="shared" si="3"/>
        <v>0</v>
      </c>
      <c r="L380" s="126">
        <f t="shared" si="4"/>
        <v>-4941.36</v>
      </c>
      <c r="M380" s="195" t="str">
        <f>IF(AND($N380&lt;&gt;"",$O380&lt;&gt;0),MAXIFS(Investment!$L:$L,Investment!$D:$D,$N380),"")</f>
        <v/>
      </c>
      <c r="N380" s="187"/>
      <c r="P380" s="35"/>
    </row>
    <row r="381">
      <c r="A381" s="7">
        <v>42373.0</v>
      </c>
      <c r="B381" s="10" t="s">
        <v>374</v>
      </c>
      <c r="C381" s="212" t="s">
        <v>472</v>
      </c>
      <c r="D381" s="10" t="s">
        <v>376</v>
      </c>
      <c r="E381" s="10"/>
      <c r="F381" s="145"/>
      <c r="G381" s="35">
        <v>1.85</v>
      </c>
      <c r="H381" s="226" t="str">
        <f t="shared" si="5"/>
        <v>Vanguard Extended Duration Treasury ETF@DIVIDEND@@1.85</v>
      </c>
      <c r="I381" s="193" t="str">
        <f t="shared" si="1"/>
        <v/>
      </c>
      <c r="J381" s="193" t="str">
        <f t="shared" si="2"/>
        <v>Vanguard Extended Duration Treasury ETF</v>
      </c>
      <c r="K381" s="126">
        <f t="shared" si="3"/>
        <v>0</v>
      </c>
      <c r="L381" s="126">
        <f t="shared" si="4"/>
        <v>-4941.36</v>
      </c>
      <c r="M381" s="195" t="str">
        <f>IF(AND($N381&lt;&gt;"",$O381&lt;&gt;0),MAXIFS(Investment!$L:$L,Investment!$D:$D,$N381),"")</f>
        <v/>
      </c>
      <c r="N381" s="187"/>
      <c r="P381" s="35"/>
    </row>
    <row r="382">
      <c r="A382" s="7">
        <v>42373.0</v>
      </c>
      <c r="B382" s="10" t="s">
        <v>374</v>
      </c>
      <c r="C382" s="212" t="s">
        <v>472</v>
      </c>
      <c r="D382" s="10" t="s">
        <v>376</v>
      </c>
      <c r="E382" s="10"/>
      <c r="F382" s="145"/>
      <c r="G382" s="35">
        <v>87.38</v>
      </c>
      <c r="H382" s="226" t="str">
        <f t="shared" si="5"/>
        <v>Vanguard Extended Duration Treasury ETF@DIVIDEND@@87.38</v>
      </c>
      <c r="I382" s="193" t="str">
        <f t="shared" si="1"/>
        <v/>
      </c>
      <c r="J382" s="193" t="str">
        <f t="shared" si="2"/>
        <v>Vanguard Extended Duration Treasury ETF</v>
      </c>
      <c r="K382" s="126">
        <f t="shared" si="3"/>
        <v>0</v>
      </c>
      <c r="L382" s="126">
        <f t="shared" si="4"/>
        <v>-4941.36</v>
      </c>
      <c r="M382" s="195" t="str">
        <f>IF(AND($N382&lt;&gt;"",$O382&lt;&gt;0),MAXIFS(Investment!$L:$L,Investment!$D:$D,$N382),"")</f>
        <v/>
      </c>
      <c r="N382" s="187"/>
      <c r="P382" s="35"/>
    </row>
    <row r="383">
      <c r="A383" s="7">
        <v>42348.0</v>
      </c>
      <c r="B383" s="10" t="s">
        <v>374</v>
      </c>
      <c r="C383" s="212" t="s">
        <v>472</v>
      </c>
      <c r="D383" s="10" t="s">
        <v>369</v>
      </c>
      <c r="E383" s="10">
        <v>1.0</v>
      </c>
      <c r="F383" s="145">
        <v>107.2959</v>
      </c>
      <c r="G383" s="35">
        <v>-115.8</v>
      </c>
      <c r="H383" s="226" t="str">
        <f t="shared" si="5"/>
        <v>Vanguard Extended Duration Treasury ETF@BUY@1@-115.8</v>
      </c>
      <c r="I383" s="193">
        <f t="shared" si="1"/>
        <v>-115.8</v>
      </c>
      <c r="J383" s="193" t="str">
        <f t="shared" si="2"/>
        <v>Vanguard Extended Duration Treasury ETF</v>
      </c>
      <c r="K383" s="126">
        <f t="shared" si="3"/>
        <v>0</v>
      </c>
      <c r="L383" s="126">
        <f t="shared" si="4"/>
        <v>-4941.36</v>
      </c>
      <c r="M383" s="195" t="str">
        <f>IF(AND($N383&lt;&gt;"",$O383&lt;&gt;0),MAXIFS(Investment!$L:$L,Investment!$D:$D,$N383),"")</f>
        <v/>
      </c>
      <c r="N383" s="187"/>
      <c r="P383" s="35"/>
    </row>
    <row r="384">
      <c r="A384" s="7">
        <v>42348.0</v>
      </c>
      <c r="B384" s="10" t="s">
        <v>371</v>
      </c>
      <c r="C384" s="212" t="s">
        <v>679</v>
      </c>
      <c r="D384" s="10" t="s">
        <v>369</v>
      </c>
      <c r="E384" s="10">
        <v>7.0</v>
      </c>
      <c r="F384" s="145">
        <v>96.1932</v>
      </c>
      <c r="G384" s="35">
        <v>-681.85</v>
      </c>
      <c r="H384" s="226" t="str">
        <f t="shared" si="5"/>
        <v>Vanguard Total Stock Market ETF@BUY@7@-681.85</v>
      </c>
      <c r="I384" s="193">
        <f t="shared" si="1"/>
        <v>-681.85</v>
      </c>
      <c r="J384" s="193" t="str">
        <f t="shared" si="2"/>
        <v>Vanguard Total Stock Market ETF</v>
      </c>
      <c r="K384" s="126">
        <f t="shared" si="3"/>
        <v>0</v>
      </c>
      <c r="L384" s="126">
        <f t="shared" si="4"/>
        <v>1880.34</v>
      </c>
      <c r="M384" s="195" t="str">
        <f>IF(AND($N384&lt;&gt;"",$O384&lt;&gt;0),MAXIFS(Investment!$L:$L,Investment!$D:$D,$N384),"")</f>
        <v/>
      </c>
      <c r="N384" s="187"/>
      <c r="P384" s="35"/>
    </row>
    <row r="385">
      <c r="A385" s="7">
        <v>42348.0</v>
      </c>
      <c r="B385" s="10" t="s">
        <v>385</v>
      </c>
      <c r="C385" s="212" t="s">
        <v>547</v>
      </c>
      <c r="D385" s="10" t="s">
        <v>369</v>
      </c>
      <c r="E385" s="10">
        <v>17.0</v>
      </c>
      <c r="F385" s="145">
        <v>9.4474</v>
      </c>
      <c r="G385" s="35">
        <v>-169.11</v>
      </c>
      <c r="H385" s="226" t="str">
        <f t="shared" si="5"/>
        <v>iShares Gold Trust@BUY@17@-169.11</v>
      </c>
      <c r="I385" s="193">
        <f t="shared" si="1"/>
        <v>-169.11</v>
      </c>
      <c r="J385" s="193" t="str">
        <f t="shared" si="2"/>
        <v>iShares Gold Trust</v>
      </c>
      <c r="K385" s="126">
        <f t="shared" si="3"/>
        <v>0</v>
      </c>
      <c r="L385" s="126">
        <f t="shared" si="4"/>
        <v>140.23</v>
      </c>
      <c r="M385" s="195" t="str">
        <f>IF(AND($N385&lt;&gt;"",$O385&lt;&gt;0),MAXIFS(Investment!$L:$L,Investment!$D:$D,$N385),"")</f>
        <v/>
      </c>
      <c r="N385" s="187"/>
      <c r="P385" s="35"/>
    </row>
    <row r="386">
      <c r="A386" s="7">
        <v>42348.0</v>
      </c>
      <c r="B386" s="10" t="s">
        <v>379</v>
      </c>
      <c r="C386" s="212" t="s">
        <v>665</v>
      </c>
      <c r="D386" s="10" t="s">
        <v>369</v>
      </c>
      <c r="E386" s="10">
        <v>1.0</v>
      </c>
      <c r="F386" s="145">
        <v>97.2815</v>
      </c>
      <c r="G386" s="35">
        <v>-105.78</v>
      </c>
      <c r="H386" s="226" t="str">
        <f t="shared" si="5"/>
        <v>iShares 7-10 Year Treasury Bond ETF@BUY@1@-105.78</v>
      </c>
      <c r="I386" s="193">
        <f t="shared" si="1"/>
        <v>-105.78</v>
      </c>
      <c r="J386" s="193" t="str">
        <f t="shared" si="2"/>
        <v>iShares 7-10 Year Treasury Bond ETF</v>
      </c>
      <c r="K386" s="126">
        <f t="shared" si="3"/>
        <v>0</v>
      </c>
      <c r="L386" s="126">
        <f t="shared" si="4"/>
        <v>-345.82</v>
      </c>
      <c r="M386" s="195" t="str">
        <f>IF(AND($N386&lt;&gt;"",$O386&lt;&gt;0),MAXIFS(Investment!$L:$L,Investment!$D:$D,$N386),"")</f>
        <v/>
      </c>
      <c r="N386" s="187"/>
      <c r="P386" s="35"/>
    </row>
    <row r="387">
      <c r="A387" s="7">
        <v>42348.0</v>
      </c>
      <c r="B387" s="10" t="s">
        <v>367</v>
      </c>
      <c r="C387" s="212" t="s">
        <v>675</v>
      </c>
      <c r="D387" s="10" t="s">
        <v>369</v>
      </c>
      <c r="E387" s="10">
        <v>30.0</v>
      </c>
      <c r="F387" s="145">
        <v>13.1056</v>
      </c>
      <c r="G387" s="35">
        <v>-401.67</v>
      </c>
      <c r="H387" s="226" t="str">
        <f t="shared" si="5"/>
        <v>iShares Diversified Commodity Swap UCITS ETF DE@BUY@30@-401.67</v>
      </c>
      <c r="I387" s="193">
        <f t="shared" si="1"/>
        <v>-401.67</v>
      </c>
      <c r="J387" s="193" t="str">
        <f t="shared" si="2"/>
        <v>iShares Diversified Commodity Swap UCITS ETF DE</v>
      </c>
      <c r="K387" s="126">
        <f t="shared" si="3"/>
        <v>0</v>
      </c>
      <c r="L387" s="126">
        <f t="shared" si="4"/>
        <v>-296.42</v>
      </c>
      <c r="M387" s="195" t="str">
        <f>IF(AND($N387&lt;&gt;"",$O387&lt;&gt;0),MAXIFS(Investment!$L:$L,Investment!$D:$D,$N387),"")</f>
        <v/>
      </c>
      <c r="N387" s="187"/>
      <c r="P387" s="35"/>
    </row>
    <row r="388">
      <c r="A388" s="7">
        <v>42347.0</v>
      </c>
      <c r="B388" s="10" t="s">
        <v>379</v>
      </c>
      <c r="C388" s="212" t="s">
        <v>665</v>
      </c>
      <c r="D388" s="10" t="s">
        <v>376</v>
      </c>
      <c r="E388" s="10"/>
      <c r="F388" s="145"/>
      <c r="G388" s="35">
        <v>4.1</v>
      </c>
      <c r="H388" s="226" t="str">
        <f t="shared" si="5"/>
        <v>iShares 7-10 Year Treasury Bond ETF@DIVIDEND@@4.1</v>
      </c>
      <c r="I388" s="193" t="str">
        <f t="shared" si="1"/>
        <v/>
      </c>
      <c r="J388" s="193" t="str">
        <f t="shared" si="2"/>
        <v>iShares 7-10 Year Treasury Bond ETF</v>
      </c>
      <c r="K388" s="126">
        <f t="shared" si="3"/>
        <v>0</v>
      </c>
      <c r="L388" s="126">
        <f t="shared" si="4"/>
        <v>-345.82</v>
      </c>
      <c r="M388" s="195" t="str">
        <f>IF(AND($N388&lt;&gt;"",$O388&lt;&gt;0),MAXIFS(Investment!$L:$L,Investment!$D:$D,$N388),"")</f>
        <v/>
      </c>
      <c r="N388" s="187"/>
      <c r="P388" s="35"/>
    </row>
    <row r="389">
      <c r="A389" s="7">
        <v>42318.0</v>
      </c>
      <c r="B389" s="10" t="s">
        <v>379</v>
      </c>
      <c r="C389" s="212" t="s">
        <v>665</v>
      </c>
      <c r="D389" s="10" t="s">
        <v>376</v>
      </c>
      <c r="E389" s="10"/>
      <c r="F389" s="145"/>
      <c r="G389" s="35">
        <v>4.09</v>
      </c>
      <c r="H389" s="226" t="str">
        <f t="shared" si="5"/>
        <v>iShares 7-10 Year Treasury Bond ETF@DIVIDEND@@4.09</v>
      </c>
      <c r="I389" s="193" t="str">
        <f t="shared" si="1"/>
        <v/>
      </c>
      <c r="J389" s="193" t="str">
        <f t="shared" si="2"/>
        <v>iShares 7-10 Year Treasury Bond ETF</v>
      </c>
      <c r="K389" s="126">
        <f t="shared" si="3"/>
        <v>0</v>
      </c>
      <c r="L389" s="126">
        <f t="shared" si="4"/>
        <v>-345.82</v>
      </c>
      <c r="M389" s="195" t="str">
        <f>IF(AND($N389&lt;&gt;"",$O389&lt;&gt;0),MAXIFS(Investment!$L:$L,Investment!$D:$D,$N389),"")</f>
        <v/>
      </c>
      <c r="N389" s="187"/>
      <c r="P389" s="35"/>
    </row>
    <row r="390">
      <c r="A390" s="7">
        <v>42314.0</v>
      </c>
      <c r="B390" s="10" t="s">
        <v>371</v>
      </c>
      <c r="C390" s="212" t="s">
        <v>679</v>
      </c>
      <c r="D390" s="10" t="s">
        <v>369</v>
      </c>
      <c r="E390" s="10">
        <v>8.0</v>
      </c>
      <c r="F390" s="145">
        <v>98.96531</v>
      </c>
      <c r="G390" s="35">
        <v>-800.22</v>
      </c>
      <c r="H390" s="226" t="str">
        <f t="shared" si="5"/>
        <v>Vanguard Total Stock Market ETF@BUY@8@-800.22</v>
      </c>
      <c r="I390" s="193">
        <f t="shared" si="1"/>
        <v>-800.22</v>
      </c>
      <c r="J390" s="193" t="str">
        <f t="shared" si="2"/>
        <v>Vanguard Total Stock Market ETF</v>
      </c>
      <c r="K390" s="126">
        <f t="shared" si="3"/>
        <v>0</v>
      </c>
      <c r="L390" s="126">
        <f t="shared" si="4"/>
        <v>1880.34</v>
      </c>
      <c r="M390" s="195" t="str">
        <f>IF(AND($N390&lt;&gt;"",$O390&lt;&gt;0),MAXIFS(Investment!$L:$L,Investment!$D:$D,$N390),"")</f>
        <v/>
      </c>
      <c r="N390" s="187"/>
      <c r="P390" s="35"/>
    </row>
    <row r="391">
      <c r="A391" s="7">
        <v>42314.0</v>
      </c>
      <c r="B391" s="10" t="s">
        <v>374</v>
      </c>
      <c r="C391" s="212" t="s">
        <v>472</v>
      </c>
      <c r="D391" s="10" t="s">
        <v>369</v>
      </c>
      <c r="E391" s="10">
        <v>9.0</v>
      </c>
      <c r="F391" s="145">
        <v>104.23462</v>
      </c>
      <c r="G391" s="35">
        <v>-946.61</v>
      </c>
      <c r="H391" s="226" t="str">
        <f t="shared" si="5"/>
        <v>Vanguard Extended Duration Treasury ETF@BUY@9@-946.61</v>
      </c>
      <c r="I391" s="193">
        <f t="shared" si="1"/>
        <v>-946.61</v>
      </c>
      <c r="J391" s="193" t="str">
        <f t="shared" si="2"/>
        <v>Vanguard Extended Duration Treasury ETF</v>
      </c>
      <c r="K391" s="126">
        <f t="shared" si="3"/>
        <v>0</v>
      </c>
      <c r="L391" s="126">
        <f t="shared" si="4"/>
        <v>-4941.36</v>
      </c>
      <c r="M391" s="195" t="str">
        <f>IF(AND($N391&lt;&gt;"",$O391&lt;&gt;0),MAXIFS(Investment!$L:$L,Investment!$D:$D,$N391),"")</f>
        <v/>
      </c>
      <c r="N391" s="187"/>
      <c r="P391" s="35"/>
    </row>
    <row r="392">
      <c r="A392" s="7">
        <v>42314.0</v>
      </c>
      <c r="B392" s="10" t="s">
        <v>367</v>
      </c>
      <c r="C392" s="212" t="s">
        <v>675</v>
      </c>
      <c r="D392" s="10" t="s">
        <v>369</v>
      </c>
      <c r="E392" s="10">
        <v>2.0</v>
      </c>
      <c r="F392" s="145">
        <v>14.30627</v>
      </c>
      <c r="G392" s="35">
        <v>-37.11</v>
      </c>
      <c r="H392" s="226" t="str">
        <f t="shared" si="5"/>
        <v>iShares Diversified Commodity Swap UCITS ETF DE@BUY@2@-37.11</v>
      </c>
      <c r="I392" s="193">
        <f t="shared" si="1"/>
        <v>-37.11</v>
      </c>
      <c r="J392" s="193" t="str">
        <f t="shared" si="2"/>
        <v>iShares Diversified Commodity Swap UCITS ETF DE</v>
      </c>
      <c r="K392" s="126">
        <f t="shared" si="3"/>
        <v>0</v>
      </c>
      <c r="L392" s="126">
        <f t="shared" si="4"/>
        <v>-296.42</v>
      </c>
      <c r="M392" s="195" t="str">
        <f>IF(AND($N392&lt;&gt;"",$O392&lt;&gt;0),MAXIFS(Investment!$L:$L,Investment!$D:$D,$N392),"")</f>
        <v/>
      </c>
      <c r="N392" s="187"/>
      <c r="P392" s="35"/>
    </row>
    <row r="393">
      <c r="A393" s="7">
        <v>42314.0</v>
      </c>
      <c r="B393" s="10" t="s">
        <v>385</v>
      </c>
      <c r="C393" s="212" t="s">
        <v>547</v>
      </c>
      <c r="D393" s="10" t="s">
        <v>369</v>
      </c>
      <c r="E393" s="10">
        <v>20.0</v>
      </c>
      <c r="F393" s="145">
        <v>9.70023</v>
      </c>
      <c r="G393" s="35">
        <v>-202.5</v>
      </c>
      <c r="H393" s="226" t="str">
        <f t="shared" si="5"/>
        <v>iShares Gold Trust@BUY@20@-202.5</v>
      </c>
      <c r="I393" s="193">
        <f t="shared" si="1"/>
        <v>-202.5</v>
      </c>
      <c r="J393" s="193" t="str">
        <f t="shared" si="2"/>
        <v>iShares Gold Trust</v>
      </c>
      <c r="K393" s="126">
        <f t="shared" si="3"/>
        <v>0</v>
      </c>
      <c r="L393" s="126">
        <f t="shared" si="4"/>
        <v>140.23</v>
      </c>
      <c r="M393" s="195" t="str">
        <f>IF(AND($N393&lt;&gt;"",$O393&lt;&gt;0),MAXIFS(Investment!$L:$L,Investment!$D:$D,$N393),"")</f>
        <v/>
      </c>
      <c r="N393" s="187"/>
      <c r="P393" s="35"/>
    </row>
    <row r="394">
      <c r="A394" s="7">
        <v>42303.0</v>
      </c>
      <c r="B394" s="223" t="s">
        <v>385</v>
      </c>
      <c r="C394" s="245" t="s">
        <v>547</v>
      </c>
      <c r="D394" s="246" t="s">
        <v>369</v>
      </c>
      <c r="E394" s="223">
        <v>255.0</v>
      </c>
      <c r="F394" s="145">
        <v>10.2342</v>
      </c>
      <c r="G394" s="225">
        <v>-2618.23</v>
      </c>
      <c r="H394" s="247" t="str">
        <f t="shared" si="5"/>
        <v>iShares Gold Trust@BUY@255@-2618.23</v>
      </c>
      <c r="I394" s="193">
        <f t="shared" si="1"/>
        <v>-2618.23</v>
      </c>
      <c r="J394" s="193" t="str">
        <f t="shared" si="2"/>
        <v>iShares Gold Trust</v>
      </c>
      <c r="K394" s="126">
        <f t="shared" si="3"/>
        <v>0</v>
      </c>
      <c r="L394" s="126">
        <f t="shared" si="4"/>
        <v>140.23</v>
      </c>
      <c r="M394" s="195" t="str">
        <f>IF(AND($N394&lt;&gt;"",$O394&lt;&gt;0),MAXIFS(Investment!$L:$L,Investment!$D:$D,$N394),"")</f>
        <v/>
      </c>
      <c r="N394" s="187"/>
      <c r="P394" s="35"/>
    </row>
    <row r="395">
      <c r="A395" s="7">
        <v>42303.0</v>
      </c>
      <c r="B395" s="223" t="s">
        <v>379</v>
      </c>
      <c r="C395" s="245" t="s">
        <v>665</v>
      </c>
      <c r="D395" s="246" t="s">
        <v>369</v>
      </c>
      <c r="E395" s="223">
        <v>55.0</v>
      </c>
      <c r="F395" s="145">
        <v>97.8714</v>
      </c>
      <c r="G395" s="225">
        <v>-5391.43</v>
      </c>
      <c r="H395" s="247" t="str">
        <f t="shared" si="5"/>
        <v>iShares 7-10 Year Treasury Bond ETF@BUY@55@-5391.43</v>
      </c>
      <c r="I395" s="193">
        <f t="shared" si="1"/>
        <v>-5391.43</v>
      </c>
      <c r="J395" s="193" t="str">
        <f t="shared" si="2"/>
        <v>iShares 7-10 Year Treasury Bond ETF</v>
      </c>
      <c r="K395" s="126">
        <f t="shared" si="3"/>
        <v>0</v>
      </c>
      <c r="L395" s="126">
        <f t="shared" si="4"/>
        <v>-345.82</v>
      </c>
      <c r="M395" s="195" t="str">
        <f>IF(AND($N395&lt;&gt;"",$O395&lt;&gt;0),MAXIFS(Investment!$L:$L,Investment!$D:$D,$N395),"")</f>
        <v/>
      </c>
      <c r="N395" s="187"/>
      <c r="P395" s="35"/>
    </row>
    <row r="396">
      <c r="A396" s="7">
        <v>42303.0</v>
      </c>
      <c r="B396" s="223" t="s">
        <v>367</v>
      </c>
      <c r="C396" s="245" t="s">
        <v>675</v>
      </c>
      <c r="D396" s="246" t="s">
        <v>369</v>
      </c>
      <c r="E396" s="223">
        <v>179.0</v>
      </c>
      <c r="F396" s="145">
        <v>14.3383</v>
      </c>
      <c r="G396" s="225">
        <v>-2575.06</v>
      </c>
      <c r="H396" s="247" t="str">
        <f t="shared" si="5"/>
        <v>iShares Diversified Commodity Swap UCITS ETF DE@BUY@179@-2575.06</v>
      </c>
      <c r="I396" s="193">
        <f t="shared" si="1"/>
        <v>-2575.06</v>
      </c>
      <c r="J396" s="193" t="str">
        <f t="shared" si="2"/>
        <v>iShares Diversified Commodity Swap UCITS ETF DE</v>
      </c>
      <c r="K396" s="126">
        <f t="shared" si="3"/>
        <v>0</v>
      </c>
      <c r="L396" s="126">
        <f t="shared" si="4"/>
        <v>-296.42</v>
      </c>
      <c r="M396" s="195" t="str">
        <f>IF(AND($N396&lt;&gt;"",$O396&lt;&gt;0),MAXIFS(Investment!$L:$L,Investment!$D:$D,$N396),"")</f>
        <v/>
      </c>
      <c r="N396" s="187"/>
      <c r="P396" s="35"/>
    </row>
    <row r="397">
      <c r="A397" s="7">
        <v>42303.0</v>
      </c>
      <c r="B397" s="223" t="s">
        <v>374</v>
      </c>
      <c r="C397" s="245" t="s">
        <v>472</v>
      </c>
      <c r="D397" s="246" t="s">
        <v>369</v>
      </c>
      <c r="E397" s="223">
        <v>127.0</v>
      </c>
      <c r="F397" s="145">
        <v>108.0799</v>
      </c>
      <c r="G397" s="225">
        <v>-13738.49</v>
      </c>
      <c r="H397" s="247" t="str">
        <f t="shared" si="5"/>
        <v>Vanguard Extended Duration Treasury ETF@BUY@127@-13738.49</v>
      </c>
      <c r="I397" s="193">
        <f t="shared" si="1"/>
        <v>-13738.49</v>
      </c>
      <c r="J397" s="193" t="str">
        <f t="shared" si="2"/>
        <v>Vanguard Extended Duration Treasury ETF</v>
      </c>
      <c r="K397" s="126">
        <f t="shared" si="3"/>
        <v>0</v>
      </c>
      <c r="L397" s="126">
        <f t="shared" si="4"/>
        <v>-4941.36</v>
      </c>
      <c r="M397" s="195" t="str">
        <f>IF(AND($N397&lt;&gt;"",$O397&lt;&gt;0),MAXIFS(Investment!$L:$L,Investment!$D:$D,$N397),"")</f>
        <v/>
      </c>
      <c r="N397" s="187"/>
      <c r="P397" s="35"/>
    </row>
    <row r="398">
      <c r="A398" s="7">
        <v>42303.0</v>
      </c>
      <c r="B398" s="223" t="s">
        <v>371</v>
      </c>
      <c r="C398" s="245" t="s">
        <v>679</v>
      </c>
      <c r="D398" s="246" t="s">
        <v>369</v>
      </c>
      <c r="E398" s="223">
        <v>100.0</v>
      </c>
      <c r="F398" s="145">
        <v>95.7279</v>
      </c>
      <c r="G398" s="225">
        <v>-9581.29</v>
      </c>
      <c r="H398" s="247" t="str">
        <f t="shared" si="5"/>
        <v>Vanguard Total Stock Market ETF@BUY@100@-9581.29</v>
      </c>
      <c r="I398" s="193">
        <f t="shared" si="1"/>
        <v>-9581.29</v>
      </c>
      <c r="J398" s="193" t="str">
        <f t="shared" si="2"/>
        <v>Vanguard Total Stock Market ETF</v>
      </c>
      <c r="K398" s="126">
        <f t="shared" si="3"/>
        <v>0</v>
      </c>
      <c r="L398" s="126">
        <f t="shared" si="4"/>
        <v>1880.34</v>
      </c>
      <c r="M398" s="195" t="str">
        <f>IF(AND($N398&lt;&gt;"",$O398&lt;&gt;0),MAXIFS(Investment!$L:$L,Investment!$D:$D,$N398),"")</f>
        <v/>
      </c>
      <c r="N398" s="187"/>
      <c r="P398" s="35"/>
    </row>
    <row r="399">
      <c r="A399" s="7">
        <v>42302.0</v>
      </c>
      <c r="B399" s="10"/>
      <c r="C399" s="212" t="s">
        <v>709</v>
      </c>
      <c r="D399" s="10" t="s">
        <v>381</v>
      </c>
      <c r="E399" s="10">
        <v>-117.0</v>
      </c>
      <c r="F399" s="145">
        <v>184.14</v>
      </c>
      <c r="G399" s="35">
        <v>21524.99</v>
      </c>
      <c r="H399" s="226" t="str">
        <f t="shared" si="5"/>
        <v>TOTAL GABON@SELL@-117@21524.99</v>
      </c>
      <c r="I399" s="193" t="str">
        <f t="shared" si="1"/>
        <v/>
      </c>
      <c r="J399" s="193" t="str">
        <f t="shared" si="2"/>
        <v>TOTAL GABON</v>
      </c>
      <c r="K399" s="126">
        <f t="shared" si="3"/>
        <v>0</v>
      </c>
      <c r="L399" s="126">
        <f t="shared" si="4"/>
        <v>-24138.28</v>
      </c>
      <c r="M399" s="195" t="str">
        <f>IF(AND($N399&lt;&gt;"",$O399&lt;&gt;0),MAXIFS(Investment!$L:$L,Investment!$D:$D,$N399),"")</f>
        <v/>
      </c>
      <c r="N399" s="187"/>
      <c r="P399" s="35"/>
    </row>
    <row r="400">
      <c r="A400" s="7">
        <v>42297.0</v>
      </c>
      <c r="B400" s="138"/>
      <c r="C400" s="220"/>
      <c r="D400" s="10" t="s">
        <v>364</v>
      </c>
      <c r="E400" s="138"/>
      <c r="F400" s="145"/>
      <c r="G400" s="35">
        <v>12000.0</v>
      </c>
      <c r="H400" s="226" t="str">
        <f t="shared" si="5"/>
        <v>@APPROVISIONNEMENT@@12000</v>
      </c>
      <c r="I400" s="193" t="str">
        <f t="shared" si="1"/>
        <v/>
      </c>
      <c r="J400" s="193" t="str">
        <f t="shared" si="2"/>
        <v/>
      </c>
      <c r="K400" s="126" t="str">
        <f t="shared" si="3"/>
        <v/>
      </c>
      <c r="L400" s="126" t="str">
        <f t="shared" si="4"/>
        <v/>
      </c>
      <c r="M400" s="195" t="str">
        <f>IF(AND($N400&lt;&gt;"",$O400&lt;&gt;0),MAXIFS(Investment!$L:$L,Investment!$D:$D,$N400),"")</f>
        <v/>
      </c>
      <c r="N400" s="187"/>
      <c r="P400" s="35"/>
    </row>
    <row r="401">
      <c r="A401" s="7">
        <v>42173.0</v>
      </c>
      <c r="B401" s="138"/>
      <c r="C401" s="220" t="s">
        <v>709</v>
      </c>
      <c r="D401" s="10" t="s">
        <v>376</v>
      </c>
      <c r="E401" s="236"/>
      <c r="F401" s="145"/>
      <c r="G401" s="35">
        <v>684.3</v>
      </c>
      <c r="H401" s="226" t="str">
        <f t="shared" si="5"/>
        <v>TOTAL GABON@DIVIDEND@@684.3</v>
      </c>
      <c r="I401" s="193" t="str">
        <f t="shared" si="1"/>
        <v/>
      </c>
      <c r="J401" s="193" t="str">
        <f t="shared" si="2"/>
        <v>TOTAL GABON</v>
      </c>
      <c r="K401" s="126">
        <f t="shared" si="3"/>
        <v>0</v>
      </c>
      <c r="L401" s="126">
        <f t="shared" si="4"/>
        <v>-24138.28</v>
      </c>
      <c r="M401" s="195" t="str">
        <f>IF(AND($N401&lt;&gt;"",$O401&lt;&gt;0),MAXIFS(Investment!$L:$L,Investment!$D:$D,$N401),"")</f>
        <v/>
      </c>
      <c r="N401" s="187"/>
      <c r="P401" s="35"/>
    </row>
    <row r="402">
      <c r="A402" s="7">
        <v>41983.0</v>
      </c>
      <c r="B402" s="10"/>
      <c r="C402" s="212" t="s">
        <v>709</v>
      </c>
      <c r="D402" s="10" t="s">
        <v>381</v>
      </c>
      <c r="E402" s="10">
        <v>-21.0</v>
      </c>
      <c r="F402" s="145">
        <v>305.05</v>
      </c>
      <c r="G402" s="35">
        <v>6400.28</v>
      </c>
      <c r="H402" s="226" t="str">
        <f t="shared" si="5"/>
        <v>TOTAL GABON@SELL@-21@6400.28</v>
      </c>
      <c r="I402" s="193" t="str">
        <f t="shared" si="1"/>
        <v/>
      </c>
      <c r="J402" s="193" t="str">
        <f t="shared" si="2"/>
        <v>TOTAL GABON</v>
      </c>
      <c r="K402" s="126">
        <f t="shared" si="3"/>
        <v>0</v>
      </c>
      <c r="L402" s="126">
        <f t="shared" si="4"/>
        <v>-24138.28</v>
      </c>
      <c r="M402" s="195" t="str">
        <f>IF(AND($N402&lt;&gt;"",$O402&lt;&gt;0),MAXIFS(Investment!$L:$L,Investment!$D:$D,$N402),"")</f>
        <v/>
      </c>
      <c r="N402" s="30"/>
    </row>
    <row r="403">
      <c r="A403" s="7">
        <v>41982.0</v>
      </c>
      <c r="B403" s="138"/>
      <c r="C403" s="220"/>
      <c r="D403" s="10" t="s">
        <v>362</v>
      </c>
      <c r="E403" s="138"/>
      <c r="F403" s="145"/>
      <c r="G403" s="35">
        <v>-6.0</v>
      </c>
      <c r="H403" s="226" t="str">
        <f t="shared" si="5"/>
        <v>@COST@@-6</v>
      </c>
      <c r="I403" s="193" t="str">
        <f t="shared" si="1"/>
        <v/>
      </c>
      <c r="J403" s="193" t="str">
        <f t="shared" si="2"/>
        <v/>
      </c>
      <c r="K403" s="126" t="str">
        <f t="shared" si="3"/>
        <v/>
      </c>
      <c r="L403" s="126" t="str">
        <f t="shared" si="4"/>
        <v/>
      </c>
      <c r="M403" s="195" t="str">
        <f>IF(AND($N403&lt;&gt;"",$O403&lt;&gt;0),MAXIFS(Investment!$L:$L,Investment!$D:$D,$N403),"")</f>
        <v/>
      </c>
      <c r="N403" s="30"/>
    </row>
    <row r="404">
      <c r="A404" s="7">
        <v>41981.0</v>
      </c>
      <c r="B404" s="138"/>
      <c r="C404" s="220"/>
      <c r="D404" s="10" t="s">
        <v>364</v>
      </c>
      <c r="E404" s="138"/>
      <c r="F404" s="145"/>
      <c r="G404" s="35">
        <v>-13500.0</v>
      </c>
      <c r="H404" s="226" t="str">
        <f t="shared" si="5"/>
        <v>@APPROVISIONNEMENT@@-13500</v>
      </c>
      <c r="I404" s="193" t="str">
        <f t="shared" si="1"/>
        <v/>
      </c>
      <c r="J404" s="193" t="str">
        <f t="shared" si="2"/>
        <v/>
      </c>
      <c r="K404" s="126" t="str">
        <f t="shared" si="3"/>
        <v/>
      </c>
      <c r="L404" s="126" t="str">
        <f t="shared" si="4"/>
        <v/>
      </c>
      <c r="M404" s="195" t="str">
        <f>IF(AND($N404&lt;&gt;"",$O404&lt;&gt;0),MAXIFS(Investment!$L:$L,Investment!$D:$D,$N404),"")</f>
        <v/>
      </c>
      <c r="N404" s="30"/>
    </row>
    <row r="405">
      <c r="A405" s="7">
        <v>41981.0</v>
      </c>
      <c r="B405" s="138"/>
      <c r="C405" s="220"/>
      <c r="D405" s="10" t="s">
        <v>364</v>
      </c>
      <c r="E405" s="138"/>
      <c r="F405" s="145"/>
      <c r="G405" s="35">
        <v>7020.41</v>
      </c>
      <c r="H405" s="226" t="str">
        <f t="shared" si="5"/>
        <v>@APPROVISIONNEMENT@@7020.41</v>
      </c>
      <c r="I405" s="193" t="str">
        <f t="shared" si="1"/>
        <v/>
      </c>
      <c r="J405" s="193" t="str">
        <f t="shared" si="2"/>
        <v/>
      </c>
      <c r="K405" s="126" t="str">
        <f t="shared" si="3"/>
        <v/>
      </c>
      <c r="L405" s="126" t="str">
        <f t="shared" si="4"/>
        <v/>
      </c>
      <c r="M405" s="195" t="str">
        <f>IF(AND($N405&lt;&gt;"",$O405&lt;&gt;0),MAXIFS(Investment!$L:$L,Investment!$D:$D,$N405),"")</f>
        <v/>
      </c>
      <c r="N405" s="30"/>
    </row>
    <row r="406">
      <c r="A406" s="7">
        <v>41933.0</v>
      </c>
      <c r="B406" s="138"/>
      <c r="C406" s="220" t="s">
        <v>709</v>
      </c>
      <c r="D406" s="10" t="s">
        <v>369</v>
      </c>
      <c r="E406" s="36">
        <v>38.0</v>
      </c>
      <c r="F406" s="145">
        <v>346.34</v>
      </c>
      <c r="G406" s="35">
        <v>-13172.76</v>
      </c>
      <c r="H406" s="226" t="str">
        <f t="shared" si="5"/>
        <v>TOTAL GABON@BUY@38@-13172.76</v>
      </c>
      <c r="I406" s="193" t="str">
        <f t="shared" si="1"/>
        <v/>
      </c>
      <c r="J406" s="193" t="str">
        <f t="shared" si="2"/>
        <v>TOTAL GABON</v>
      </c>
      <c r="K406" s="126">
        <f t="shared" si="3"/>
        <v>0</v>
      </c>
      <c r="L406" s="126">
        <f t="shared" si="4"/>
        <v>-24138.28</v>
      </c>
      <c r="M406" s="195" t="str">
        <f>IF(AND($N406&lt;&gt;"",$O406&lt;&gt;0),MAXIFS(Investment!$L:$L,Investment!$D:$D,$N406),"")</f>
        <v/>
      </c>
      <c r="N406" s="187"/>
      <c r="P406" s="35"/>
    </row>
    <row r="407">
      <c r="A407" s="7">
        <v>41887.0</v>
      </c>
      <c r="C407" s="30" t="s">
        <v>710</v>
      </c>
      <c r="D407" s="10" t="s">
        <v>381</v>
      </c>
      <c r="E407" s="36">
        <v>-525.0</v>
      </c>
      <c r="F407" s="145">
        <v>25.3755</v>
      </c>
      <c r="G407" s="35">
        <v>13310.15</v>
      </c>
      <c r="H407" s="226" t="str">
        <f t="shared" si="5"/>
        <v>EDF@SELL@-525@13310.15</v>
      </c>
      <c r="I407" s="193" t="str">
        <f t="shared" si="1"/>
        <v/>
      </c>
      <c r="J407" s="193" t="str">
        <f t="shared" si="2"/>
        <v>EDF</v>
      </c>
      <c r="K407" s="126">
        <f t="shared" si="3"/>
        <v>0</v>
      </c>
      <c r="L407" s="126">
        <f t="shared" si="4"/>
        <v>1451.96</v>
      </c>
      <c r="M407" s="195" t="str">
        <f>IF(AND($N407&lt;&gt;"",$O407&lt;&gt;0),MAXIFS(Investment!$L:$L,Investment!$D:$D,$N407),"")</f>
        <v/>
      </c>
      <c r="N407" s="187"/>
      <c r="P407" s="35"/>
    </row>
    <row r="408">
      <c r="A408" s="7">
        <v>41821.0</v>
      </c>
      <c r="B408" s="248"/>
      <c r="C408" s="249" t="s">
        <v>710</v>
      </c>
      <c r="D408" s="197" t="s">
        <v>362</v>
      </c>
      <c r="E408" s="36"/>
      <c r="F408" s="145"/>
      <c r="G408" s="199">
        <v>-24.17</v>
      </c>
      <c r="H408" s="226" t="str">
        <f t="shared" si="5"/>
        <v>EDF@COST@@-24.17</v>
      </c>
      <c r="I408" s="193" t="str">
        <f t="shared" si="1"/>
        <v/>
      </c>
      <c r="J408" s="193" t="str">
        <f t="shared" si="2"/>
        <v>EDF</v>
      </c>
      <c r="K408" s="126">
        <f t="shared" si="3"/>
        <v>0</v>
      </c>
      <c r="L408" s="126">
        <f t="shared" si="4"/>
        <v>1451.96</v>
      </c>
      <c r="M408" s="195" t="str">
        <f>IF(AND($N408&lt;&gt;"",$O408&lt;&gt;0),MAXIFS(Investment!$L:$L,Investment!$D:$D,$N408),"")</f>
        <v/>
      </c>
      <c r="N408" s="193"/>
      <c r="O408" s="126"/>
      <c r="P408" s="207"/>
    </row>
    <row r="409">
      <c r="A409" s="7">
        <v>41821.0</v>
      </c>
      <c r="C409" s="30" t="s">
        <v>710</v>
      </c>
      <c r="D409" s="10" t="s">
        <v>369</v>
      </c>
      <c r="E409" s="10">
        <v>525.0</v>
      </c>
      <c r="F409" s="145">
        <v>23.02</v>
      </c>
      <c r="G409" s="35">
        <v>-12096.38</v>
      </c>
      <c r="H409" s="226" t="str">
        <f t="shared" si="5"/>
        <v>EDF@BUY@525@-12096.38</v>
      </c>
      <c r="I409" s="193" t="str">
        <f t="shared" si="1"/>
        <v/>
      </c>
      <c r="J409" s="193" t="str">
        <f t="shared" si="2"/>
        <v>EDF</v>
      </c>
      <c r="K409" s="126">
        <f t="shared" si="3"/>
        <v>0</v>
      </c>
      <c r="L409" s="126">
        <f t="shared" si="4"/>
        <v>1451.96</v>
      </c>
      <c r="M409" s="195" t="str">
        <f>IF(AND($N409&lt;&gt;"",$O409&lt;&gt;0),MAXIFS(Investment!$L:$L,Investment!$D:$D,$N409),"")</f>
        <v/>
      </c>
      <c r="N409" s="187"/>
      <c r="P409" s="35"/>
    </row>
    <row r="410">
      <c r="A410" s="7">
        <v>41816.0</v>
      </c>
      <c r="C410" s="30" t="s">
        <v>711</v>
      </c>
      <c r="D410" s="10" t="s">
        <v>381</v>
      </c>
      <c r="E410" s="36">
        <v>-345.0</v>
      </c>
      <c r="F410" s="145">
        <v>31.1974</v>
      </c>
      <c r="G410" s="35">
        <v>10753.41</v>
      </c>
      <c r="H410" s="226" t="str">
        <f t="shared" si="5"/>
        <v>BOUYGUES@SELL@-345@10753.41</v>
      </c>
      <c r="I410" s="193" t="str">
        <f t="shared" si="1"/>
        <v/>
      </c>
      <c r="J410" s="193" t="str">
        <f t="shared" si="2"/>
        <v>BOUYGUES</v>
      </c>
      <c r="K410" s="126">
        <f t="shared" si="3"/>
        <v>0</v>
      </c>
      <c r="L410" s="126">
        <f t="shared" si="4"/>
        <v>1091.52</v>
      </c>
      <c r="M410" s="195" t="str">
        <f>IF(AND($N410&lt;&gt;"",$O410&lt;&gt;0),MAXIFS(Investment!$L:$L,Investment!$D:$D,$N410),"")</f>
        <v/>
      </c>
      <c r="N410" s="187"/>
      <c r="P410" s="35"/>
    </row>
    <row r="411">
      <c r="A411" s="7">
        <v>41809.0</v>
      </c>
      <c r="B411" s="138"/>
      <c r="C411" s="220" t="s">
        <v>709</v>
      </c>
      <c r="D411" s="10" t="s">
        <v>376</v>
      </c>
      <c r="E411" s="36"/>
      <c r="F411" s="145"/>
      <c r="G411" s="35">
        <v>1586.91</v>
      </c>
      <c r="H411" s="226" t="str">
        <f t="shared" si="5"/>
        <v>TOTAL GABON@DIVIDEND@@1586.91</v>
      </c>
      <c r="I411" s="193" t="str">
        <f t="shared" si="1"/>
        <v/>
      </c>
      <c r="J411" s="193" t="str">
        <f t="shared" si="2"/>
        <v>TOTAL GABON</v>
      </c>
      <c r="K411" s="126">
        <f t="shared" si="3"/>
        <v>0</v>
      </c>
      <c r="L411" s="126">
        <f t="shared" si="4"/>
        <v>-24138.28</v>
      </c>
      <c r="M411" s="195" t="str">
        <f>IF(AND($N411&lt;&gt;"",$O411&lt;&gt;0),MAXIFS(Investment!$L:$L,Investment!$D:$D,$N411),"")</f>
        <v/>
      </c>
      <c r="N411" s="187"/>
      <c r="P411" s="35"/>
    </row>
    <row r="412">
      <c r="A412" s="7">
        <v>41794.0</v>
      </c>
      <c r="C412" s="30" t="s">
        <v>711</v>
      </c>
      <c r="D412" s="10" t="s">
        <v>376</v>
      </c>
      <c r="E412" s="36"/>
      <c r="F412" s="145"/>
      <c r="G412" s="35">
        <v>330.2</v>
      </c>
      <c r="H412" s="226" t="str">
        <f t="shared" si="5"/>
        <v>BOUYGUES@DIVIDEND@@330.2</v>
      </c>
      <c r="I412" s="193" t="str">
        <f t="shared" si="1"/>
        <v/>
      </c>
      <c r="J412" s="193" t="str">
        <f t="shared" si="2"/>
        <v>BOUYGUES</v>
      </c>
      <c r="K412" s="126">
        <f t="shared" si="3"/>
        <v>0</v>
      </c>
      <c r="L412" s="126">
        <f t="shared" si="4"/>
        <v>1091.52</v>
      </c>
      <c r="M412" s="195" t="str">
        <f>IF(AND($N412&lt;&gt;"",$O412&lt;&gt;0),MAXIFS(Investment!$L:$L,Investment!$D:$D,$N412),"")</f>
        <v/>
      </c>
      <c r="N412" s="187"/>
      <c r="P412" s="35"/>
    </row>
    <row r="413">
      <c r="A413" s="7">
        <v>41764.0</v>
      </c>
      <c r="C413" s="30" t="s">
        <v>711</v>
      </c>
      <c r="D413" s="244" t="s">
        <v>362</v>
      </c>
      <c r="E413" s="36">
        <v>20.0</v>
      </c>
      <c r="F413" s="145">
        <v>25.21</v>
      </c>
      <c r="G413" s="35">
        <v>0.0</v>
      </c>
      <c r="H413" s="226" t="str">
        <f t="shared" si="5"/>
        <v>BOUYGUES@COST@20@0</v>
      </c>
      <c r="I413" s="193" t="str">
        <f t="shared" si="1"/>
        <v/>
      </c>
      <c r="J413" s="193" t="str">
        <f t="shared" si="2"/>
        <v>BOUYGUES</v>
      </c>
      <c r="K413" s="126">
        <f t="shared" si="3"/>
        <v>0</v>
      </c>
      <c r="L413" s="126">
        <f t="shared" si="4"/>
        <v>1091.52</v>
      </c>
      <c r="M413" s="195" t="str">
        <f>IF(AND($N413&lt;&gt;"",$O413&lt;&gt;0),MAXIFS(Investment!$L:$L,Investment!$D:$D,$N413),"")</f>
        <v/>
      </c>
      <c r="N413" s="187"/>
      <c r="P413" s="35"/>
    </row>
    <row r="414">
      <c r="A414" s="7">
        <v>41764.0</v>
      </c>
      <c r="B414" s="10"/>
      <c r="C414" s="212" t="s">
        <v>711</v>
      </c>
      <c r="D414" s="244" t="s">
        <v>362</v>
      </c>
      <c r="E414" s="36"/>
      <c r="F414" s="145"/>
      <c r="G414" s="35">
        <v>-504.2</v>
      </c>
      <c r="H414" s="226" t="str">
        <f t="shared" si="5"/>
        <v>BOUYGUES@COST@@-504.2</v>
      </c>
      <c r="I414" s="193" t="str">
        <f t="shared" si="1"/>
        <v/>
      </c>
      <c r="J414" s="193" t="str">
        <f t="shared" si="2"/>
        <v>BOUYGUES</v>
      </c>
      <c r="K414" s="126">
        <f t="shared" si="3"/>
        <v>0</v>
      </c>
      <c r="L414" s="126">
        <f t="shared" si="4"/>
        <v>1091.52</v>
      </c>
      <c r="M414" s="195" t="str">
        <f>IF(AND($N414&lt;&gt;"",$O414&lt;&gt;0),MAXIFS(Investment!$L:$L,Investment!$D:$D,$N414),"")</f>
        <v/>
      </c>
      <c r="N414" s="187"/>
      <c r="P414" s="35"/>
    </row>
    <row r="415">
      <c r="A415" s="7">
        <v>41746.0</v>
      </c>
      <c r="C415" s="30" t="s">
        <v>711</v>
      </c>
      <c r="D415" s="10" t="s">
        <v>369</v>
      </c>
      <c r="E415" s="36">
        <v>325.0</v>
      </c>
      <c r="F415" s="145">
        <v>29.205</v>
      </c>
      <c r="G415" s="35">
        <v>-9500.17</v>
      </c>
      <c r="H415" s="226" t="str">
        <f t="shared" si="5"/>
        <v>BOUYGUES@BUY@325@-9500.17</v>
      </c>
      <c r="I415" s="193" t="str">
        <f t="shared" si="1"/>
        <v/>
      </c>
      <c r="J415" s="193" t="str">
        <f t="shared" si="2"/>
        <v>BOUYGUES</v>
      </c>
      <c r="K415" s="126">
        <f t="shared" si="3"/>
        <v>0</v>
      </c>
      <c r="L415" s="126">
        <f t="shared" si="4"/>
        <v>1091.52</v>
      </c>
      <c r="M415" s="195" t="str">
        <f>IF(AND($N415&lt;&gt;"",$O415&lt;&gt;0),MAXIFS(Investment!$L:$L,Investment!$D:$D,$N415),"")</f>
        <v/>
      </c>
      <c r="N415" s="187"/>
      <c r="P415" s="35"/>
    </row>
    <row r="416">
      <c r="A416" s="7">
        <v>41746.0</v>
      </c>
      <c r="B416" s="10"/>
      <c r="C416" s="212" t="s">
        <v>711</v>
      </c>
      <c r="D416" s="244" t="s">
        <v>362</v>
      </c>
      <c r="E416" s="36"/>
      <c r="F416" s="145"/>
      <c r="G416" s="35">
        <v>-18.98</v>
      </c>
      <c r="H416" s="226" t="str">
        <f t="shared" si="5"/>
        <v>BOUYGUES@COST@@-18.98</v>
      </c>
      <c r="I416" s="193" t="str">
        <f t="shared" si="1"/>
        <v/>
      </c>
      <c r="J416" s="193" t="str">
        <f t="shared" si="2"/>
        <v>BOUYGUES</v>
      </c>
      <c r="K416" s="126">
        <f t="shared" si="3"/>
        <v>0</v>
      </c>
      <c r="L416" s="126">
        <f t="shared" si="4"/>
        <v>1091.52</v>
      </c>
      <c r="M416" s="195" t="str">
        <f>IF(AND($N416&lt;&gt;"",$O416&lt;&gt;0),MAXIFS(Investment!$L:$L,Investment!$D:$D,$N416),"")</f>
        <v/>
      </c>
      <c r="N416" s="187"/>
      <c r="P416" s="35"/>
    </row>
    <row r="417">
      <c r="A417" s="7">
        <v>41744.0</v>
      </c>
      <c r="B417" s="138"/>
      <c r="C417" s="220"/>
      <c r="D417" s="10" t="s">
        <v>364</v>
      </c>
      <c r="E417" s="138"/>
      <c r="F417" s="145"/>
      <c r="G417" s="35">
        <v>7979.59</v>
      </c>
      <c r="H417" s="226" t="str">
        <f t="shared" si="5"/>
        <v>@APPROVISIONNEMENT@@7979.59</v>
      </c>
      <c r="I417" s="193" t="str">
        <f t="shared" si="1"/>
        <v/>
      </c>
      <c r="J417" s="193" t="str">
        <f t="shared" si="2"/>
        <v/>
      </c>
      <c r="K417" s="126" t="str">
        <f t="shared" si="3"/>
        <v/>
      </c>
      <c r="L417" s="126" t="str">
        <f t="shared" si="4"/>
        <v/>
      </c>
      <c r="M417" s="195" t="str">
        <f>IF(AND($N417&lt;&gt;"",$O417&lt;&gt;0),MAXIFS(Investment!$L:$L,Investment!$D:$D,$N417),"")</f>
        <v/>
      </c>
      <c r="N417" s="187"/>
      <c r="P417" s="35"/>
    </row>
    <row r="418">
      <c r="A418" s="7">
        <v>41743.0</v>
      </c>
      <c r="B418" s="138"/>
      <c r="C418" s="220" t="s">
        <v>709</v>
      </c>
      <c r="D418" s="10" t="s">
        <v>369</v>
      </c>
      <c r="E418" s="36">
        <v>100.0</v>
      </c>
      <c r="F418" s="145">
        <v>411.5</v>
      </c>
      <c r="G418" s="35">
        <v>-41162.0</v>
      </c>
      <c r="H418" s="226" t="str">
        <f t="shared" si="5"/>
        <v>TOTAL GABON@BUY@100@-41162</v>
      </c>
      <c r="I418" s="193" t="str">
        <f t="shared" si="1"/>
        <v/>
      </c>
      <c r="J418" s="193" t="str">
        <f t="shared" si="2"/>
        <v>TOTAL GABON</v>
      </c>
      <c r="K418" s="126">
        <f t="shared" si="3"/>
        <v>0</v>
      </c>
      <c r="L418" s="126">
        <f t="shared" si="4"/>
        <v>-24138.28</v>
      </c>
      <c r="M418" s="195" t="str">
        <f>IF(AND($N418&lt;&gt;"",$O418&lt;&gt;0),MAXIFS(Investment!$L:$L,Investment!$D:$D,$N418),"")</f>
        <v/>
      </c>
      <c r="N418" s="187"/>
      <c r="P418" s="35"/>
    </row>
    <row r="419">
      <c r="A419" s="7">
        <v>41722.0</v>
      </c>
      <c r="C419" s="30" t="s">
        <v>712</v>
      </c>
      <c r="D419" s="10" t="s">
        <v>381</v>
      </c>
      <c r="E419" s="10">
        <v>-580.0</v>
      </c>
      <c r="F419" s="145">
        <v>73.2</v>
      </c>
      <c r="G419" s="35">
        <v>42444.0</v>
      </c>
      <c r="H419" s="226" t="str">
        <f t="shared" si="5"/>
        <v>TECHNIP@SELL@-580@42444</v>
      </c>
      <c r="I419" s="193" t="str">
        <f t="shared" si="1"/>
        <v/>
      </c>
      <c r="J419" s="193" t="str">
        <f t="shared" si="2"/>
        <v>TECHNIP</v>
      </c>
      <c r="K419" s="126">
        <f t="shared" si="3"/>
        <v>0</v>
      </c>
      <c r="L419" s="126">
        <f t="shared" si="4"/>
        <v>-690.07</v>
      </c>
      <c r="M419" s="195" t="str">
        <f>IF(AND($N419&lt;&gt;"",$O419&lt;&gt;0),MAXIFS(Investment!$L:$L,Investment!$D:$D,$N419),"")</f>
        <v/>
      </c>
      <c r="N419" s="187"/>
      <c r="P419" s="35"/>
    </row>
    <row r="420">
      <c r="A420" s="7">
        <v>41599.0</v>
      </c>
      <c r="C420" s="30" t="s">
        <v>712</v>
      </c>
      <c r="D420" s="10" t="s">
        <v>369</v>
      </c>
      <c r="E420" s="36">
        <v>580.0</v>
      </c>
      <c r="F420" s="145">
        <v>74.2</v>
      </c>
      <c r="G420" s="35">
        <v>-43048.0</v>
      </c>
      <c r="H420" s="226" t="str">
        <f t="shared" si="5"/>
        <v>TECHNIP@BUY@580@-43048</v>
      </c>
      <c r="I420" s="193" t="str">
        <f t="shared" si="1"/>
        <v/>
      </c>
      <c r="J420" s="193" t="str">
        <f t="shared" si="2"/>
        <v>TECHNIP</v>
      </c>
      <c r="K420" s="126">
        <f t="shared" si="3"/>
        <v>0</v>
      </c>
      <c r="L420" s="126">
        <f t="shared" si="4"/>
        <v>-690.07</v>
      </c>
      <c r="M420" s="195" t="str">
        <f>IF(AND($N420&lt;&gt;"",$O420&lt;&gt;0),MAXIFS(Investment!$L:$L,Investment!$D:$D,$N420),"")</f>
        <v/>
      </c>
      <c r="N420" s="187"/>
      <c r="P420" s="35"/>
    </row>
    <row r="421">
      <c r="A421" s="7">
        <v>41599.0</v>
      </c>
      <c r="B421" s="10"/>
      <c r="C421" s="212" t="s">
        <v>712</v>
      </c>
      <c r="D421" s="244" t="s">
        <v>362</v>
      </c>
      <c r="E421" s="36"/>
      <c r="F421" s="145"/>
      <c r="G421" s="35">
        <v>-86.07</v>
      </c>
      <c r="H421" s="226" t="str">
        <f t="shared" si="5"/>
        <v>TECHNIP@COST@@-86.07</v>
      </c>
      <c r="I421" s="193" t="str">
        <f t="shared" si="1"/>
        <v/>
      </c>
      <c r="J421" s="193" t="str">
        <f t="shared" si="2"/>
        <v>TECHNIP</v>
      </c>
      <c r="K421" s="126">
        <f t="shared" si="3"/>
        <v>0</v>
      </c>
      <c r="L421" s="126">
        <f t="shared" si="4"/>
        <v>-690.07</v>
      </c>
      <c r="M421" s="195" t="str">
        <f>IF(AND($N421&lt;&gt;"",$O421&lt;&gt;0),MAXIFS(Investment!$L:$L,Investment!$D:$D,$N421),"")</f>
        <v/>
      </c>
      <c r="N421" s="187"/>
      <c r="P421" s="35"/>
    </row>
    <row r="422">
      <c r="A422" s="7">
        <v>41599.0</v>
      </c>
      <c r="C422" s="30" t="s">
        <v>713</v>
      </c>
      <c r="D422" s="10" t="s">
        <v>381</v>
      </c>
      <c r="E422" s="36">
        <v>-7300.0</v>
      </c>
      <c r="F422" s="145">
        <v>5.873</v>
      </c>
      <c r="G422" s="35">
        <v>42860.9</v>
      </c>
      <c r="H422" s="226" t="str">
        <f t="shared" si="5"/>
        <v>STMICROELECTRONICS@SELL@-7300@42860.9</v>
      </c>
      <c r="I422" s="193" t="str">
        <f t="shared" si="1"/>
        <v/>
      </c>
      <c r="J422" s="193" t="str">
        <f t="shared" si="2"/>
        <v>STMICROELECTRONICS</v>
      </c>
      <c r="K422" s="126">
        <f t="shared" si="3"/>
        <v>0</v>
      </c>
      <c r="L422" s="126">
        <f t="shared" si="4"/>
        <v>1209.7</v>
      </c>
      <c r="M422" s="195" t="str">
        <f>IF(AND($N422&lt;&gt;"",$O422&lt;&gt;0),MAXIFS(Investment!$L:$L,Investment!$D:$D,$N422),"")</f>
        <v/>
      </c>
      <c r="N422" s="187"/>
      <c r="P422" s="35"/>
    </row>
    <row r="423">
      <c r="A423" s="7">
        <v>41571.0</v>
      </c>
      <c r="C423" s="30" t="s">
        <v>713</v>
      </c>
      <c r="D423" s="10" t="s">
        <v>369</v>
      </c>
      <c r="E423" s="36">
        <v>7300.0</v>
      </c>
      <c r="F423" s="145">
        <v>5.704</v>
      </c>
      <c r="G423" s="35">
        <v>-41651.2</v>
      </c>
      <c r="H423" s="226" t="str">
        <f t="shared" si="5"/>
        <v>STMICROELECTRONICS@BUY@7300@-41651.2</v>
      </c>
      <c r="I423" s="193" t="str">
        <f t="shared" si="1"/>
        <v/>
      </c>
      <c r="J423" s="193" t="str">
        <f t="shared" si="2"/>
        <v>STMICROELECTRONICS</v>
      </c>
      <c r="K423" s="126">
        <f t="shared" si="3"/>
        <v>0</v>
      </c>
      <c r="L423" s="126">
        <f t="shared" si="4"/>
        <v>1209.7</v>
      </c>
      <c r="M423" s="195" t="str">
        <f>IF(AND($N423&lt;&gt;"",$O423&lt;&gt;0),MAXIFS(Investment!$L:$L,Investment!$D:$D,$N423),"")</f>
        <v/>
      </c>
      <c r="N423" s="187"/>
      <c r="P423" s="35"/>
    </row>
    <row r="424">
      <c r="A424" s="7">
        <v>41569.0</v>
      </c>
      <c r="C424" s="30" t="s">
        <v>714</v>
      </c>
      <c r="D424" s="10" t="s">
        <v>381</v>
      </c>
      <c r="E424" s="36">
        <v>-1500.0</v>
      </c>
      <c r="F424" s="145">
        <v>27.59</v>
      </c>
      <c r="G424" s="35">
        <v>41373.0</v>
      </c>
      <c r="H424" s="226" t="str">
        <f t="shared" si="5"/>
        <v>ALSTOM REGROUPT@SELL@-1500@41373</v>
      </c>
      <c r="I424" s="193" t="str">
        <f t="shared" si="1"/>
        <v/>
      </c>
      <c r="J424" s="193" t="str">
        <f t="shared" si="2"/>
        <v>ALSTOM REGROUPT</v>
      </c>
      <c r="K424" s="126">
        <f t="shared" si="3"/>
        <v>0</v>
      </c>
      <c r="L424" s="126">
        <f t="shared" si="4"/>
        <v>3485.4</v>
      </c>
      <c r="M424" s="195" t="str">
        <f>IF(AND($N424&lt;&gt;"",$O424&lt;&gt;0),MAXIFS(Investment!$L:$L,Investment!$D:$D,$N424),"")</f>
        <v/>
      </c>
      <c r="N424" s="187"/>
      <c r="P424" s="35"/>
    </row>
    <row r="425">
      <c r="A425" s="7">
        <v>41564.0</v>
      </c>
      <c r="C425" s="30" t="s">
        <v>715</v>
      </c>
      <c r="D425" s="10" t="s">
        <v>381</v>
      </c>
      <c r="E425" s="36">
        <v>-32.0</v>
      </c>
      <c r="F425" s="145">
        <v>21.6</v>
      </c>
      <c r="G425" s="35">
        <v>690.21</v>
      </c>
      <c r="H425" s="226" t="str">
        <f t="shared" si="5"/>
        <v>ANF IMMOBILIER@SELL@-32@690.21</v>
      </c>
      <c r="I425" s="193" t="str">
        <f t="shared" si="1"/>
        <v/>
      </c>
      <c r="J425" s="193" t="str">
        <f t="shared" si="2"/>
        <v>ANF IMMOBILIER</v>
      </c>
      <c r="K425" s="126">
        <f t="shared" si="3"/>
        <v>0</v>
      </c>
      <c r="L425" s="126">
        <f t="shared" si="4"/>
        <v>-5.5</v>
      </c>
      <c r="M425" s="195" t="str">
        <f>IF(AND($N425&lt;&gt;"",$O425&lt;&gt;0),MAXIFS(Investment!$L:$L,Investment!$D:$D,$N425),"")</f>
        <v/>
      </c>
      <c r="N425" s="187"/>
      <c r="P425" s="35"/>
    </row>
    <row r="426">
      <c r="A426" s="7">
        <v>41564.0</v>
      </c>
      <c r="C426" s="30" t="s">
        <v>716</v>
      </c>
      <c r="D426" s="10" t="s">
        <v>381</v>
      </c>
      <c r="E426" s="36">
        <v>-16.0</v>
      </c>
      <c r="F426" s="145">
        <v>72.89</v>
      </c>
      <c r="G426" s="35">
        <v>1165.19</v>
      </c>
      <c r="H426" s="226" t="str">
        <f t="shared" si="5"/>
        <v>SANOFI@SELL@-16@1165.19</v>
      </c>
      <c r="I426" s="193" t="str">
        <f t="shared" si="1"/>
        <v/>
      </c>
      <c r="J426" s="193" t="str">
        <f t="shared" si="2"/>
        <v>SANOFI</v>
      </c>
      <c r="K426" s="126">
        <f t="shared" si="3"/>
        <v>0</v>
      </c>
      <c r="L426" s="126">
        <f t="shared" si="4"/>
        <v>-32.19</v>
      </c>
      <c r="M426" s="195" t="str">
        <f>IF(AND($N426&lt;&gt;"",$O426&lt;&gt;0),MAXIFS(Investment!$L:$L,Investment!$D:$D,$N426),"")</f>
        <v/>
      </c>
      <c r="N426" s="187"/>
      <c r="P426" s="35"/>
    </row>
    <row r="427">
      <c r="A427" s="7">
        <v>41564.0</v>
      </c>
      <c r="C427" s="30" t="s">
        <v>714</v>
      </c>
      <c r="D427" s="10" t="s">
        <v>369</v>
      </c>
      <c r="E427" s="36">
        <v>1500.0</v>
      </c>
      <c r="F427" s="145">
        <v>25.2</v>
      </c>
      <c r="G427" s="35">
        <v>-37812.0</v>
      </c>
      <c r="H427" s="226" t="str">
        <f t="shared" si="5"/>
        <v>ALSTOM REGROUPT@BUY@1500@-37812</v>
      </c>
      <c r="I427" s="193" t="str">
        <f t="shared" si="1"/>
        <v/>
      </c>
      <c r="J427" s="193" t="str">
        <f t="shared" si="2"/>
        <v>ALSTOM REGROUPT</v>
      </c>
      <c r="K427" s="126">
        <f t="shared" si="3"/>
        <v>0</v>
      </c>
      <c r="L427" s="126">
        <f t="shared" si="4"/>
        <v>3485.4</v>
      </c>
      <c r="M427" s="195" t="str">
        <f>IF(AND($N427&lt;&gt;"",$O427&lt;&gt;0),MAXIFS(Investment!$L:$L,Investment!$D:$D,$N427),"")</f>
        <v/>
      </c>
      <c r="N427" s="187"/>
      <c r="P427" s="35"/>
    </row>
    <row r="428">
      <c r="A428" s="7">
        <v>41564.0</v>
      </c>
      <c r="B428" s="10"/>
      <c r="C428" s="212" t="s">
        <v>714</v>
      </c>
      <c r="D428" s="244" t="s">
        <v>362</v>
      </c>
      <c r="E428" s="36"/>
      <c r="F428" s="145"/>
      <c r="G428" s="35">
        <v>-75.6</v>
      </c>
      <c r="H428" s="226" t="str">
        <f t="shared" si="5"/>
        <v>ALSTOM REGROUPT@COST@@-75.6</v>
      </c>
      <c r="I428" s="193" t="str">
        <f t="shared" si="1"/>
        <v/>
      </c>
      <c r="J428" s="193" t="str">
        <f t="shared" si="2"/>
        <v>ALSTOM REGROUPT</v>
      </c>
      <c r="K428" s="126">
        <f t="shared" si="3"/>
        <v>0</v>
      </c>
      <c r="L428" s="126">
        <f t="shared" si="4"/>
        <v>3485.4</v>
      </c>
      <c r="M428" s="195" t="str">
        <f>IF(AND($N428&lt;&gt;"",$O428&lt;&gt;0),MAXIFS(Investment!$L:$L,Investment!$D:$D,$N428),"")</f>
        <v/>
      </c>
      <c r="N428" s="187"/>
      <c r="P428" s="35"/>
    </row>
    <row r="429">
      <c r="A429" s="7">
        <v>41557.0</v>
      </c>
      <c r="B429" s="236"/>
      <c r="C429" s="250" t="s">
        <v>717</v>
      </c>
      <c r="D429" s="10" t="s">
        <v>381</v>
      </c>
      <c r="E429" s="36">
        <v>-12.0</v>
      </c>
      <c r="F429" s="145">
        <v>185.05</v>
      </c>
      <c r="G429" s="35">
        <v>2218.6</v>
      </c>
      <c r="H429" s="226" t="str">
        <f t="shared" si="5"/>
        <v>UNIBAIL RODAMCO SE@SELL@-12@2218.6</v>
      </c>
      <c r="I429" s="193" t="str">
        <f t="shared" si="1"/>
        <v/>
      </c>
      <c r="J429" s="193" t="str">
        <f t="shared" si="2"/>
        <v>UNIBAIL RODAMCO SE</v>
      </c>
      <c r="K429" s="126">
        <f t="shared" si="3"/>
        <v>0</v>
      </c>
      <c r="L429" s="126">
        <f t="shared" si="4"/>
        <v>107.7</v>
      </c>
      <c r="M429" s="195" t="str">
        <f>IF(AND($N429&lt;&gt;"",$O429&lt;&gt;0),MAXIFS(Investment!$L:$L,Investment!$D:$D,$N429),"")</f>
        <v/>
      </c>
      <c r="N429" s="187"/>
      <c r="P429" s="35"/>
    </row>
    <row r="430">
      <c r="A430" s="7">
        <v>41537.0</v>
      </c>
      <c r="B430" s="138"/>
      <c r="C430" s="220"/>
      <c r="D430" s="10" t="s">
        <v>364</v>
      </c>
      <c r="E430" s="138"/>
      <c r="F430" s="145"/>
      <c r="G430" s="35">
        <v>16133.41</v>
      </c>
      <c r="H430" s="226" t="str">
        <f t="shared" si="5"/>
        <v>@APPROVISIONNEMENT@@16133.41</v>
      </c>
      <c r="I430" s="193" t="str">
        <f t="shared" si="1"/>
        <v/>
      </c>
      <c r="J430" s="193" t="str">
        <f t="shared" si="2"/>
        <v/>
      </c>
      <c r="K430" s="126" t="str">
        <f t="shared" si="3"/>
        <v/>
      </c>
      <c r="L430" s="126" t="str">
        <f t="shared" si="4"/>
        <v/>
      </c>
      <c r="M430" s="195" t="str">
        <f>IF(AND($N430&lt;&gt;"",$O430&lt;&gt;0),MAXIFS(Investment!$L:$L,Investment!$D:$D,$N430),"")</f>
        <v/>
      </c>
      <c r="N430" s="30"/>
    </row>
    <row r="431">
      <c r="A431" s="7">
        <v>41537.0</v>
      </c>
      <c r="B431" s="138"/>
      <c r="C431" s="220"/>
      <c r="D431" s="10" t="s">
        <v>364</v>
      </c>
      <c r="E431" s="138"/>
      <c r="F431" s="145"/>
      <c r="G431" s="35">
        <v>16872.9</v>
      </c>
      <c r="H431" s="226" t="str">
        <f t="shared" si="5"/>
        <v>@APPROVISIONNEMENT@@16872.9</v>
      </c>
      <c r="I431" s="193" t="str">
        <f t="shared" si="1"/>
        <v/>
      </c>
      <c r="J431" s="193" t="str">
        <f t="shared" si="2"/>
        <v/>
      </c>
      <c r="K431" s="126" t="str">
        <f t="shared" si="3"/>
        <v/>
      </c>
      <c r="L431" s="126" t="str">
        <f t="shared" si="4"/>
        <v/>
      </c>
      <c r="M431" s="195" t="str">
        <f>IF(AND($N431&lt;&gt;"",$O431&lt;&gt;0),MAXIFS(Investment!$L:$L,Investment!$D:$D,$N431),"")</f>
        <v/>
      </c>
      <c r="N431" s="30"/>
    </row>
    <row r="432">
      <c r="A432" s="7">
        <v>41512.0</v>
      </c>
      <c r="C432" s="30" t="s">
        <v>715</v>
      </c>
      <c r="D432" s="10" t="s">
        <v>369</v>
      </c>
      <c r="E432" s="36">
        <v>32.0</v>
      </c>
      <c r="F432" s="145">
        <v>21.71</v>
      </c>
      <c r="G432" s="35">
        <v>-695.71</v>
      </c>
      <c r="H432" s="226" t="str">
        <f t="shared" si="5"/>
        <v>ANF IMMOBILIER@BUY@32@-695.71</v>
      </c>
      <c r="I432" s="193" t="str">
        <f t="shared" si="1"/>
        <v/>
      </c>
      <c r="J432" s="193" t="str">
        <f t="shared" si="2"/>
        <v>ANF IMMOBILIER</v>
      </c>
      <c r="K432" s="126">
        <f t="shared" si="3"/>
        <v>0</v>
      </c>
      <c r="L432" s="126">
        <f t="shared" si="4"/>
        <v>-5.5</v>
      </c>
      <c r="M432" s="195" t="str">
        <f>IF(AND($N432&lt;&gt;"",$O432&lt;&gt;0),MAXIFS(Investment!$L:$L,Investment!$D:$D,$N432),"")</f>
        <v/>
      </c>
      <c r="N432" s="187"/>
      <c r="P432" s="35"/>
    </row>
    <row r="433">
      <c r="A433" s="7">
        <v>41509.0</v>
      </c>
      <c r="C433" s="30" t="s">
        <v>716</v>
      </c>
      <c r="D433" s="10" t="s">
        <v>369</v>
      </c>
      <c r="E433" s="36">
        <v>16.0</v>
      </c>
      <c r="F433" s="145">
        <v>74.62</v>
      </c>
      <c r="G433" s="35">
        <v>-1194.99</v>
      </c>
      <c r="H433" s="226" t="str">
        <f t="shared" si="5"/>
        <v>SANOFI@BUY@16@-1194.99</v>
      </c>
      <c r="I433" s="193" t="str">
        <f t="shared" si="1"/>
        <v/>
      </c>
      <c r="J433" s="193" t="str">
        <f t="shared" si="2"/>
        <v>SANOFI</v>
      </c>
      <c r="K433" s="126">
        <f t="shared" si="3"/>
        <v>0</v>
      </c>
      <c r="L433" s="126">
        <f t="shared" si="4"/>
        <v>-32.19</v>
      </c>
      <c r="M433" s="195" t="str">
        <f>IF(AND($N433&lt;&gt;"",$O433&lt;&gt;0),MAXIFS(Investment!$L:$L,Investment!$D:$D,$N433),"")</f>
        <v/>
      </c>
      <c r="N433" s="187"/>
      <c r="P433" s="35"/>
    </row>
    <row r="434">
      <c r="A434" s="7">
        <v>41509.0</v>
      </c>
      <c r="B434" s="10"/>
      <c r="C434" s="212" t="s">
        <v>716</v>
      </c>
      <c r="D434" s="244" t="s">
        <v>362</v>
      </c>
      <c r="E434" s="36"/>
      <c r="F434" s="145"/>
      <c r="G434" s="35">
        <v>-2.39</v>
      </c>
      <c r="H434" s="226" t="str">
        <f t="shared" si="5"/>
        <v>SANOFI@COST@@-2.39</v>
      </c>
      <c r="I434" s="193" t="str">
        <f t="shared" si="1"/>
        <v/>
      </c>
      <c r="J434" s="193" t="str">
        <f t="shared" si="2"/>
        <v>SANOFI</v>
      </c>
      <c r="K434" s="126">
        <f t="shared" si="3"/>
        <v>0</v>
      </c>
      <c r="L434" s="126">
        <f t="shared" si="4"/>
        <v>-32.19</v>
      </c>
      <c r="M434" s="195" t="str">
        <f>IF(AND($N434&lt;&gt;"",$O434&lt;&gt;0),MAXIFS(Investment!$L:$L,Investment!$D:$D,$N434),"")</f>
        <v/>
      </c>
      <c r="N434" s="187"/>
      <c r="P434" s="35"/>
    </row>
    <row r="435">
      <c r="A435" s="7">
        <v>41508.0</v>
      </c>
      <c r="C435" s="30" t="s">
        <v>717</v>
      </c>
      <c r="D435" s="10" t="s">
        <v>369</v>
      </c>
      <c r="E435" s="36">
        <v>12.0</v>
      </c>
      <c r="F435" s="145">
        <v>175.4</v>
      </c>
      <c r="G435" s="35">
        <v>-2106.69</v>
      </c>
      <c r="H435" s="226" t="str">
        <f t="shared" si="5"/>
        <v>UNIBAIL RODAMCO SE@BUY@12@-2106.69</v>
      </c>
      <c r="I435" s="193" t="str">
        <f t="shared" si="1"/>
        <v/>
      </c>
      <c r="J435" s="193" t="str">
        <f t="shared" si="2"/>
        <v>UNIBAIL RODAMCO SE</v>
      </c>
      <c r="K435" s="126">
        <f t="shared" si="3"/>
        <v>0</v>
      </c>
      <c r="L435" s="126">
        <f t="shared" si="4"/>
        <v>107.7</v>
      </c>
      <c r="M435" s="195" t="str">
        <f>IF(AND($N435&lt;&gt;"",$O435&lt;&gt;0),MAXIFS(Investment!$L:$L,Investment!$D:$D,$N435),"")</f>
        <v/>
      </c>
      <c r="N435" s="187"/>
      <c r="P435" s="35"/>
    </row>
    <row r="436">
      <c r="A436" s="7">
        <v>41508.0</v>
      </c>
      <c r="B436" s="10"/>
      <c r="C436" s="212" t="s">
        <v>717</v>
      </c>
      <c r="D436" s="244" t="s">
        <v>362</v>
      </c>
      <c r="E436" s="36"/>
      <c r="F436" s="145"/>
      <c r="G436" s="35">
        <v>-4.21</v>
      </c>
      <c r="H436" s="226" t="str">
        <f t="shared" si="5"/>
        <v>UNIBAIL RODAMCO SE@COST@@-4.21</v>
      </c>
      <c r="I436" s="193" t="str">
        <f t="shared" si="1"/>
        <v/>
      </c>
      <c r="J436" s="193" t="str">
        <f t="shared" si="2"/>
        <v>UNIBAIL RODAMCO SE</v>
      </c>
      <c r="K436" s="126">
        <f t="shared" si="3"/>
        <v>0</v>
      </c>
      <c r="L436" s="126">
        <f t="shared" si="4"/>
        <v>107.7</v>
      </c>
      <c r="M436" s="195" t="str">
        <f>IF(AND($N436&lt;&gt;"",$O436&lt;&gt;0),MAXIFS(Investment!$L:$L,Investment!$D:$D,$N436),"")</f>
        <v/>
      </c>
      <c r="N436" s="187"/>
      <c r="P436" s="35"/>
    </row>
    <row r="437">
      <c r="A437" s="7">
        <v>41508.0</v>
      </c>
      <c r="C437" s="30" t="s">
        <v>718</v>
      </c>
      <c r="D437" s="10" t="s">
        <v>381</v>
      </c>
      <c r="E437" s="36">
        <v>-135.0</v>
      </c>
      <c r="F437" s="145">
        <v>7.8</v>
      </c>
      <c r="G437" s="35">
        <v>1052.01</v>
      </c>
      <c r="H437" s="226" t="str">
        <f t="shared" si="5"/>
        <v>ORANGE@SELL@-135@1052.01</v>
      </c>
      <c r="I437" s="193" t="str">
        <f t="shared" si="1"/>
        <v/>
      </c>
      <c r="J437" s="193" t="str">
        <f t="shared" si="2"/>
        <v>ORANGE</v>
      </c>
      <c r="K437" s="126">
        <f t="shared" si="3"/>
        <v>0</v>
      </c>
      <c r="L437" s="126">
        <f t="shared" si="4"/>
        <v>-68.12</v>
      </c>
      <c r="M437" s="195" t="str">
        <f>IF(AND($N437&lt;&gt;"",$O437&lt;&gt;0),MAXIFS(Investment!$L:$L,Investment!$D:$D,$N437),"")</f>
        <v/>
      </c>
      <c r="N437" s="187"/>
      <c r="P437" s="35"/>
    </row>
    <row r="438">
      <c r="A438" s="7">
        <v>41508.0</v>
      </c>
      <c r="C438" s="30" t="s">
        <v>719</v>
      </c>
      <c r="D438" s="10" t="s">
        <v>381</v>
      </c>
      <c r="E438" s="36">
        <v>-95.0</v>
      </c>
      <c r="F438" s="145">
        <v>16.74</v>
      </c>
      <c r="G438" s="35">
        <v>1588.87</v>
      </c>
      <c r="H438" s="226" t="str">
        <f t="shared" si="5"/>
        <v>GDF SUEZ@SELL@-95@1588.87</v>
      </c>
      <c r="I438" s="193" t="str">
        <f t="shared" si="1"/>
        <v/>
      </c>
      <c r="J438" s="193" t="str">
        <f t="shared" si="2"/>
        <v>GDF SUEZ</v>
      </c>
      <c r="K438" s="126">
        <f t="shared" si="3"/>
        <v>0</v>
      </c>
      <c r="L438" s="126">
        <f t="shared" si="4"/>
        <v>123.37</v>
      </c>
      <c r="M438" s="195" t="str">
        <f>IF(AND($N438&lt;&gt;"",$O438&lt;&gt;0),MAXIFS(Investment!$L:$L,Investment!$D:$D,$N438),"")</f>
        <v/>
      </c>
      <c r="N438" s="187"/>
      <c r="P438" s="35"/>
    </row>
    <row r="439">
      <c r="A439" s="7">
        <v>41506.0</v>
      </c>
      <c r="C439" s="30" t="s">
        <v>720</v>
      </c>
      <c r="D439" s="10" t="s">
        <v>381</v>
      </c>
      <c r="E439" s="36">
        <v>-355.0</v>
      </c>
      <c r="F439" s="145">
        <v>5.07</v>
      </c>
      <c r="G439" s="35">
        <v>1798.23</v>
      </c>
      <c r="H439" s="226" t="str">
        <f t="shared" si="5"/>
        <v>ABC ARBITRAGE@SELL@-355@1798.23</v>
      </c>
      <c r="I439" s="193" t="str">
        <f t="shared" si="1"/>
        <v/>
      </c>
      <c r="J439" s="193" t="str">
        <f t="shared" si="2"/>
        <v>ABC ARBITRAGE</v>
      </c>
      <c r="K439" s="126">
        <f t="shared" si="3"/>
        <v>0</v>
      </c>
      <c r="L439" s="126">
        <f t="shared" si="4"/>
        <v>217.06</v>
      </c>
      <c r="M439" s="195" t="str">
        <f>IF(AND($N439&lt;&gt;"",$O439&lt;&gt;0),MAXIFS(Investment!$L:$L,Investment!$D:$D,$N439),"")</f>
        <v/>
      </c>
      <c r="N439" s="187"/>
      <c r="P439" s="35"/>
    </row>
    <row r="440">
      <c r="A440" s="7">
        <v>41491.0</v>
      </c>
      <c r="C440" s="30" t="s">
        <v>361</v>
      </c>
      <c r="D440" s="10" t="s">
        <v>381</v>
      </c>
      <c r="E440" s="36">
        <v>-30.0</v>
      </c>
      <c r="F440" s="145">
        <v>40.655</v>
      </c>
      <c r="G440" s="35">
        <v>1218.55</v>
      </c>
      <c r="H440" s="226" t="str">
        <f t="shared" si="5"/>
        <v>TOTAL@SELL@-30@1218.55</v>
      </c>
      <c r="I440" s="193" t="str">
        <f t="shared" si="1"/>
        <v/>
      </c>
      <c r="J440" s="193" t="str">
        <f t="shared" si="2"/>
        <v>TOTAL</v>
      </c>
      <c r="K440" s="126">
        <f t="shared" si="3"/>
        <v>0</v>
      </c>
      <c r="L440" s="126">
        <f t="shared" si="4"/>
        <v>137.91</v>
      </c>
      <c r="M440" s="195" t="str">
        <f>IF(AND($N440&lt;&gt;"",$O440&lt;&gt;0),MAXIFS(Investment!$L:$L,Investment!$D:$D,$N440),"")</f>
        <v/>
      </c>
      <c r="N440" s="187"/>
      <c r="P440" s="35"/>
    </row>
    <row r="441">
      <c r="A441" s="7">
        <v>41466.0</v>
      </c>
      <c r="C441" s="30" t="s">
        <v>720</v>
      </c>
      <c r="D441" s="10" t="s">
        <v>369</v>
      </c>
      <c r="E441" s="36">
        <v>355.0</v>
      </c>
      <c r="F441" s="145">
        <v>4.45</v>
      </c>
      <c r="G441" s="35">
        <v>-1581.17</v>
      </c>
      <c r="H441" s="226" t="str">
        <f t="shared" si="5"/>
        <v>ABC ARBITRAGE@BUY@355@-1581.17</v>
      </c>
      <c r="I441" s="193" t="str">
        <f t="shared" si="1"/>
        <v/>
      </c>
      <c r="J441" s="193" t="str">
        <f t="shared" si="2"/>
        <v>ABC ARBITRAGE</v>
      </c>
      <c r="K441" s="126">
        <f t="shared" si="3"/>
        <v>0</v>
      </c>
      <c r="L441" s="126">
        <f t="shared" si="4"/>
        <v>217.06</v>
      </c>
      <c r="M441" s="195" t="str">
        <f>IF(AND($N441&lt;&gt;"",$O441&lt;&gt;0),MAXIFS(Investment!$L:$L,Investment!$D:$D,$N441),"")</f>
        <v/>
      </c>
      <c r="N441" s="187"/>
      <c r="P441" s="35"/>
    </row>
    <row r="442">
      <c r="A442" s="7">
        <v>41466.0</v>
      </c>
      <c r="C442" s="30" t="s">
        <v>710</v>
      </c>
      <c r="D442" s="10" t="s">
        <v>381</v>
      </c>
      <c r="E442" s="36">
        <v>-75.0</v>
      </c>
      <c r="F442" s="145">
        <v>19.625</v>
      </c>
      <c r="G442" s="35">
        <v>1470.56</v>
      </c>
      <c r="H442" s="226" t="str">
        <f t="shared" si="5"/>
        <v>EDF@SELL@-75@1470.56</v>
      </c>
      <c r="I442" s="193" t="str">
        <f t="shared" si="1"/>
        <v/>
      </c>
      <c r="J442" s="193" t="str">
        <f t="shared" si="2"/>
        <v>EDF</v>
      </c>
      <c r="K442" s="126">
        <f t="shared" si="3"/>
        <v>0</v>
      </c>
      <c r="L442" s="126">
        <f t="shared" si="4"/>
        <v>1451.96</v>
      </c>
      <c r="M442" s="195" t="str">
        <f>IF(AND($N442&lt;&gt;"",$O442&lt;&gt;0),MAXIFS(Investment!$L:$L,Investment!$D:$D,$N442),"")</f>
        <v/>
      </c>
      <c r="N442" s="187"/>
      <c r="P442" s="35"/>
    </row>
    <row r="443">
      <c r="A443" s="7">
        <v>41464.0</v>
      </c>
      <c r="C443" s="30" t="s">
        <v>710</v>
      </c>
      <c r="D443" s="10" t="s">
        <v>376</v>
      </c>
      <c r="E443" s="36"/>
      <c r="F443" s="145"/>
      <c r="G443" s="35">
        <v>27.67</v>
      </c>
      <c r="H443" s="226" t="str">
        <f t="shared" si="5"/>
        <v>EDF@DIVIDEND@@27.67</v>
      </c>
      <c r="I443" s="193" t="str">
        <f t="shared" si="1"/>
        <v/>
      </c>
      <c r="J443" s="193" t="str">
        <f t="shared" si="2"/>
        <v>EDF</v>
      </c>
      <c r="K443" s="126">
        <f t="shared" si="3"/>
        <v>0</v>
      </c>
      <c r="L443" s="126">
        <f t="shared" si="4"/>
        <v>1451.96</v>
      </c>
      <c r="M443" s="195" t="str">
        <f>IF(AND($N443&lt;&gt;"",$O443&lt;&gt;0),MAXIFS(Investment!$L:$L,Investment!$D:$D,$N443),"")</f>
        <v/>
      </c>
      <c r="N443" s="187"/>
      <c r="P443" s="35"/>
    </row>
    <row r="444">
      <c r="A444" s="7">
        <v>41464.0</v>
      </c>
      <c r="C444" s="30" t="s">
        <v>710</v>
      </c>
      <c r="D444" s="10" t="s">
        <v>376</v>
      </c>
      <c r="E444" s="36"/>
      <c r="F444" s="145"/>
      <c r="G444" s="35">
        <v>4.8</v>
      </c>
      <c r="H444" s="226" t="str">
        <f t="shared" si="5"/>
        <v>EDF@DIVIDEND@@4.8</v>
      </c>
      <c r="I444" s="193" t="str">
        <f t="shared" si="1"/>
        <v/>
      </c>
      <c r="J444" s="193" t="str">
        <f t="shared" si="2"/>
        <v>EDF</v>
      </c>
      <c r="K444" s="126">
        <f t="shared" si="3"/>
        <v>0</v>
      </c>
      <c r="L444" s="126">
        <f t="shared" si="4"/>
        <v>1451.96</v>
      </c>
      <c r="M444" s="195" t="str">
        <f>IF(AND($N444&lt;&gt;"",$O444&lt;&gt;0),MAXIFS(Investment!$L:$L,Investment!$D:$D,$N444),"")</f>
        <v/>
      </c>
      <c r="N444" s="187"/>
      <c r="P444" s="35"/>
    </row>
    <row r="445">
      <c r="A445" s="7">
        <v>41452.0</v>
      </c>
      <c r="C445" s="30" t="s">
        <v>361</v>
      </c>
      <c r="D445" s="10" t="s">
        <v>376</v>
      </c>
      <c r="E445" s="36"/>
      <c r="F445" s="145"/>
      <c r="G445" s="35">
        <v>11.29</v>
      </c>
      <c r="H445" s="226" t="str">
        <f t="shared" si="5"/>
        <v>TOTAL@DIVIDEND@@11.29</v>
      </c>
      <c r="I445" s="193" t="str">
        <f t="shared" si="1"/>
        <v/>
      </c>
      <c r="J445" s="193" t="str">
        <f t="shared" si="2"/>
        <v>TOTAL</v>
      </c>
      <c r="K445" s="126">
        <f t="shared" si="3"/>
        <v>0</v>
      </c>
      <c r="L445" s="126">
        <f t="shared" si="4"/>
        <v>137.91</v>
      </c>
      <c r="M445" s="195" t="str">
        <f>IF(AND($N445&lt;&gt;"",$O445&lt;&gt;0),MAXIFS(Investment!$L:$L,Investment!$D:$D,$N445),"")</f>
        <v/>
      </c>
      <c r="N445" s="187"/>
      <c r="P445" s="35"/>
    </row>
    <row r="446">
      <c r="A446" s="7">
        <v>41436.0</v>
      </c>
      <c r="B446" s="10"/>
      <c r="C446" s="212" t="s">
        <v>718</v>
      </c>
      <c r="D446" s="10" t="s">
        <v>376</v>
      </c>
      <c r="E446" s="36"/>
      <c r="F446" s="145"/>
      <c r="G446" s="35">
        <v>17.19</v>
      </c>
      <c r="H446" s="226" t="str">
        <f t="shared" si="5"/>
        <v>ORANGE@DIVIDEND@@17.19</v>
      </c>
      <c r="I446" s="193" t="str">
        <f t="shared" si="1"/>
        <v/>
      </c>
      <c r="J446" s="193" t="str">
        <f t="shared" si="2"/>
        <v>ORANGE</v>
      </c>
      <c r="K446" s="126">
        <f t="shared" si="3"/>
        <v>0</v>
      </c>
      <c r="L446" s="126">
        <f t="shared" si="4"/>
        <v>-68.12</v>
      </c>
      <c r="M446" s="195" t="str">
        <f>IF(AND($N446&lt;&gt;"",$O446&lt;&gt;0),MAXIFS(Investment!$L:$L,Investment!$D:$D,$N446),"")</f>
        <v/>
      </c>
      <c r="N446" s="187"/>
      <c r="P446" s="35"/>
    </row>
    <row r="447">
      <c r="A447" s="7">
        <v>41394.0</v>
      </c>
      <c r="C447" s="30" t="s">
        <v>719</v>
      </c>
      <c r="D447" s="10" t="s">
        <v>376</v>
      </c>
      <c r="E447" s="36"/>
      <c r="F447" s="145"/>
      <c r="G447" s="35">
        <v>40.46</v>
      </c>
      <c r="H447" s="226" t="str">
        <f t="shared" si="5"/>
        <v>GDF SUEZ@DIVIDEND@@40.46</v>
      </c>
      <c r="I447" s="193" t="str">
        <f t="shared" si="1"/>
        <v/>
      </c>
      <c r="J447" s="193" t="str">
        <f t="shared" si="2"/>
        <v>GDF SUEZ</v>
      </c>
      <c r="K447" s="126">
        <f t="shared" si="3"/>
        <v>0</v>
      </c>
      <c r="L447" s="126">
        <f t="shared" si="4"/>
        <v>123.37</v>
      </c>
      <c r="M447" s="195" t="str">
        <f>IF(AND($N447&lt;&gt;"",$O447&lt;&gt;0),MAXIFS(Investment!$L:$L,Investment!$D:$D,$N447),"")</f>
        <v/>
      </c>
      <c r="N447" s="187"/>
      <c r="P447" s="35"/>
    </row>
    <row r="448">
      <c r="A448" s="7">
        <v>41355.0</v>
      </c>
      <c r="C448" s="30" t="s">
        <v>361</v>
      </c>
      <c r="D448" s="10" t="s">
        <v>369</v>
      </c>
      <c r="E448" s="36">
        <v>30.0</v>
      </c>
      <c r="F448" s="145">
        <v>38.33</v>
      </c>
      <c r="G448" s="35">
        <v>-1150.93</v>
      </c>
      <c r="H448" s="226" t="str">
        <f t="shared" si="5"/>
        <v>TOTAL@BUY@30@-1150.93</v>
      </c>
      <c r="I448" s="193" t="str">
        <f t="shared" si="1"/>
        <v/>
      </c>
      <c r="J448" s="193" t="str">
        <f t="shared" si="2"/>
        <v>TOTAL</v>
      </c>
      <c r="K448" s="126">
        <f t="shared" si="3"/>
        <v>0</v>
      </c>
      <c r="L448" s="126">
        <f t="shared" si="4"/>
        <v>137.91</v>
      </c>
      <c r="M448" s="195" t="str">
        <f>IF(AND($N448&lt;&gt;"",$O448&lt;&gt;0),MAXIFS(Investment!$L:$L,Investment!$D:$D,$N448),"")</f>
        <v/>
      </c>
      <c r="N448" s="187"/>
      <c r="P448" s="35"/>
    </row>
    <row r="449">
      <c r="A449" s="7">
        <v>41355.0</v>
      </c>
      <c r="B449" s="10"/>
      <c r="C449" s="212" t="s">
        <v>718</v>
      </c>
      <c r="D449" s="10" t="s">
        <v>369</v>
      </c>
      <c r="E449" s="36">
        <v>135.0</v>
      </c>
      <c r="F449" s="145">
        <v>8.42</v>
      </c>
      <c r="G449" s="35">
        <v>-1137.32</v>
      </c>
      <c r="H449" s="226" t="str">
        <f t="shared" si="5"/>
        <v>ORANGE@BUY@135@-1137.32</v>
      </c>
      <c r="I449" s="193" t="str">
        <f t="shared" si="1"/>
        <v/>
      </c>
      <c r="J449" s="193" t="str">
        <f t="shared" si="2"/>
        <v>ORANGE</v>
      </c>
      <c r="K449" s="126">
        <f t="shared" si="3"/>
        <v>0</v>
      </c>
      <c r="L449" s="126">
        <f t="shared" si="4"/>
        <v>-68.12</v>
      </c>
      <c r="M449" s="195" t="str">
        <f>IF(AND($N449&lt;&gt;"",$O449&lt;&gt;0),MAXIFS(Investment!$L:$L,Investment!$D:$D,$N449),"")</f>
        <v/>
      </c>
      <c r="N449" s="187"/>
      <c r="P449" s="35"/>
    </row>
    <row r="450">
      <c r="A450" s="7">
        <v>41355.0</v>
      </c>
      <c r="C450" s="30" t="s">
        <v>719</v>
      </c>
      <c r="D450" s="10" t="s">
        <v>369</v>
      </c>
      <c r="E450" s="36">
        <v>95.0</v>
      </c>
      <c r="F450" s="145">
        <v>15.4</v>
      </c>
      <c r="G450" s="35">
        <v>-1464.32</v>
      </c>
      <c r="H450" s="226" t="str">
        <f t="shared" si="5"/>
        <v>GDF SUEZ@BUY@95@-1464.32</v>
      </c>
      <c r="I450" s="193" t="str">
        <f t="shared" si="1"/>
        <v/>
      </c>
      <c r="J450" s="193" t="str">
        <f t="shared" si="2"/>
        <v>GDF SUEZ</v>
      </c>
      <c r="K450" s="126">
        <f t="shared" si="3"/>
        <v>0</v>
      </c>
      <c r="L450" s="126">
        <f t="shared" si="4"/>
        <v>123.37</v>
      </c>
      <c r="M450" s="195" t="str">
        <f>IF(AND($N450&lt;&gt;"",$O450&lt;&gt;0),MAXIFS(Investment!$L:$L,Investment!$D:$D,$N450),"")</f>
        <v/>
      </c>
      <c r="N450" s="187"/>
      <c r="P450" s="35"/>
    </row>
    <row r="451">
      <c r="A451" s="7">
        <v>41355.0</v>
      </c>
      <c r="C451" s="30" t="s">
        <v>710</v>
      </c>
      <c r="D451" s="10" t="s">
        <v>369</v>
      </c>
      <c r="E451" s="36">
        <v>75.0</v>
      </c>
      <c r="F451" s="145">
        <v>15.15</v>
      </c>
      <c r="G451" s="35">
        <v>-1137.27</v>
      </c>
      <c r="H451" s="226" t="str">
        <f t="shared" si="5"/>
        <v>EDF@BUY@75@-1137.27</v>
      </c>
      <c r="I451" s="193" t="str">
        <f t="shared" si="1"/>
        <v/>
      </c>
      <c r="J451" s="193" t="str">
        <f t="shared" si="2"/>
        <v>EDF</v>
      </c>
      <c r="K451" s="126">
        <f t="shared" si="3"/>
        <v>0</v>
      </c>
      <c r="L451" s="126">
        <f t="shared" si="4"/>
        <v>1451.96</v>
      </c>
      <c r="M451" s="195" t="str">
        <f>IF(AND($N451&lt;&gt;"",$O451&lt;&gt;0),MAXIFS(Investment!$L:$L,Investment!$D:$D,$N451),"")</f>
        <v/>
      </c>
      <c r="N451" s="187"/>
      <c r="P451" s="35"/>
    </row>
    <row r="452">
      <c r="A452" s="7">
        <v>41355.0</v>
      </c>
      <c r="B452" s="10"/>
      <c r="C452" s="212" t="s">
        <v>361</v>
      </c>
      <c r="D452" s="244" t="s">
        <v>362</v>
      </c>
      <c r="E452" s="36"/>
      <c r="F452" s="145"/>
      <c r="G452" s="35">
        <v>-2.3</v>
      </c>
      <c r="H452" s="226" t="str">
        <f t="shared" si="5"/>
        <v>TOTAL@COST@@-2.3</v>
      </c>
      <c r="I452" s="193" t="str">
        <f t="shared" si="1"/>
        <v/>
      </c>
      <c r="J452" s="193" t="str">
        <f t="shared" si="2"/>
        <v>TOTAL</v>
      </c>
      <c r="K452" s="126">
        <f t="shared" si="3"/>
        <v>0</v>
      </c>
      <c r="L452" s="126">
        <f t="shared" si="4"/>
        <v>137.91</v>
      </c>
      <c r="M452" s="195" t="str">
        <f>IF(AND($N452&lt;&gt;"",$O452&lt;&gt;0),MAXIFS(Investment!$L:$L,Investment!$D:$D,$N452),"")</f>
        <v/>
      </c>
      <c r="N452" s="187"/>
      <c r="P452" s="35"/>
    </row>
    <row r="453">
      <c r="A453" s="7">
        <v>41355.0</v>
      </c>
      <c r="B453" s="10"/>
      <c r="C453" s="212" t="s">
        <v>721</v>
      </c>
      <c r="D453" s="244" t="s">
        <v>362</v>
      </c>
      <c r="E453" s="36"/>
      <c r="F453" s="145"/>
      <c r="G453" s="35">
        <v>-2.27</v>
      </c>
      <c r="H453" s="226" t="str">
        <f t="shared" si="5"/>
        <v>FRANCE TELECOM@COST@@-2.27</v>
      </c>
      <c r="I453" s="193" t="str">
        <f t="shared" si="1"/>
        <v/>
      </c>
      <c r="J453" s="193" t="str">
        <f t="shared" si="2"/>
        <v>FRANCE TELECOM</v>
      </c>
      <c r="K453" s="126">
        <f t="shared" si="3"/>
        <v>0</v>
      </c>
      <c r="L453" s="126">
        <f t="shared" si="4"/>
        <v>1049.82</v>
      </c>
      <c r="M453" s="195" t="str">
        <f>IF(AND($N453&lt;&gt;"",$O453&lt;&gt;0),MAXIFS(Investment!$L:$L,Investment!$D:$D,$N453),"")</f>
        <v/>
      </c>
      <c r="N453" s="187"/>
      <c r="P453" s="35"/>
    </row>
    <row r="454">
      <c r="A454" s="7">
        <v>41355.0</v>
      </c>
      <c r="B454" s="10"/>
      <c r="C454" s="212" t="s">
        <v>719</v>
      </c>
      <c r="D454" s="244" t="s">
        <v>362</v>
      </c>
      <c r="E454" s="36"/>
      <c r="F454" s="145"/>
      <c r="G454" s="35">
        <v>-2.93</v>
      </c>
      <c r="H454" s="226" t="str">
        <f t="shared" si="5"/>
        <v>GDF SUEZ@COST@@-2.93</v>
      </c>
      <c r="I454" s="193" t="str">
        <f t="shared" si="1"/>
        <v/>
      </c>
      <c r="J454" s="193" t="str">
        <f t="shared" si="2"/>
        <v>GDF SUEZ</v>
      </c>
      <c r="K454" s="126">
        <f t="shared" si="3"/>
        <v>0</v>
      </c>
      <c r="L454" s="126">
        <f t="shared" si="4"/>
        <v>123.37</v>
      </c>
      <c r="M454" s="195" t="str">
        <f>IF(AND($N454&lt;&gt;"",$O454&lt;&gt;0),MAXIFS(Investment!$L:$L,Investment!$D:$D,$N454),"")</f>
        <v/>
      </c>
      <c r="N454" s="187"/>
      <c r="P454" s="35"/>
    </row>
    <row r="455">
      <c r="A455" s="7">
        <v>41355.0</v>
      </c>
      <c r="B455" s="10"/>
      <c r="C455" s="212" t="s">
        <v>710</v>
      </c>
      <c r="D455" s="244" t="s">
        <v>362</v>
      </c>
      <c r="E455" s="36"/>
      <c r="F455" s="145"/>
      <c r="G455" s="35">
        <v>-2.27</v>
      </c>
      <c r="H455" s="226" t="str">
        <f t="shared" si="5"/>
        <v>EDF@COST@@-2.27</v>
      </c>
      <c r="I455" s="193" t="str">
        <f t="shared" si="1"/>
        <v/>
      </c>
      <c r="J455" s="193" t="str">
        <f t="shared" si="2"/>
        <v>EDF</v>
      </c>
      <c r="K455" s="126">
        <f t="shared" si="3"/>
        <v>0</v>
      </c>
      <c r="L455" s="126">
        <f t="shared" si="4"/>
        <v>1451.96</v>
      </c>
      <c r="M455" s="195" t="str">
        <f>IF(AND($N455&lt;&gt;"",$O455&lt;&gt;0),MAXIFS(Investment!$L:$L,Investment!$D:$D,$N455),"")</f>
        <v/>
      </c>
      <c r="N455" s="187"/>
      <c r="P455" s="35"/>
    </row>
    <row r="456">
      <c r="A456" s="7">
        <v>41326.0</v>
      </c>
      <c r="B456" s="138"/>
      <c r="C456" s="220"/>
      <c r="D456" s="10" t="s">
        <v>362</v>
      </c>
      <c r="E456" s="138"/>
      <c r="F456" s="145"/>
      <c r="G456" s="35">
        <v>-6.0</v>
      </c>
      <c r="H456" s="226" t="str">
        <f t="shared" si="5"/>
        <v>@COST@@-6</v>
      </c>
      <c r="I456" s="193" t="str">
        <f t="shared" si="1"/>
        <v/>
      </c>
      <c r="J456" s="193" t="str">
        <f t="shared" si="2"/>
        <v/>
      </c>
      <c r="K456" s="126" t="str">
        <f t="shared" si="3"/>
        <v/>
      </c>
      <c r="L456" s="126" t="str">
        <f t="shared" si="4"/>
        <v/>
      </c>
      <c r="M456" s="195" t="str">
        <f>IF(AND($N456&lt;&gt;"",$O456&lt;&gt;0),MAXIFS(Investment!$L:$L,Investment!$D:$D,$N456),"")</f>
        <v/>
      </c>
      <c r="N456" s="30"/>
    </row>
    <row r="457">
      <c r="A457" s="7">
        <v>41326.0</v>
      </c>
      <c r="B457" s="138"/>
      <c r="C457" s="220"/>
      <c r="D457" s="10" t="s">
        <v>364</v>
      </c>
      <c r="E457" s="138"/>
      <c r="F457" s="145"/>
      <c r="G457" s="35">
        <v>-9872.9</v>
      </c>
      <c r="H457" s="226" t="str">
        <f t="shared" si="5"/>
        <v>@APPROVISIONNEMENT@@-9872.9</v>
      </c>
      <c r="I457" s="193" t="str">
        <f t="shared" si="1"/>
        <v/>
      </c>
      <c r="J457" s="193" t="str">
        <f t="shared" si="2"/>
        <v/>
      </c>
      <c r="K457" s="126" t="str">
        <f t="shared" si="3"/>
        <v/>
      </c>
      <c r="L457" s="126" t="str">
        <f t="shared" si="4"/>
        <v/>
      </c>
      <c r="M457" s="195" t="str">
        <f>IF(AND($N457&lt;&gt;"",$O457&lt;&gt;0),MAXIFS(Investment!$L:$L,Investment!$D:$D,$N457),"")</f>
        <v/>
      </c>
      <c r="N457" s="30"/>
    </row>
    <row r="458">
      <c r="A458" s="7">
        <v>41124.0</v>
      </c>
      <c r="C458" s="30" t="s">
        <v>721</v>
      </c>
      <c r="D458" s="10" t="s">
        <v>381</v>
      </c>
      <c r="E458" s="36">
        <v>-455.0</v>
      </c>
      <c r="F458" s="145">
        <v>10.8</v>
      </c>
      <c r="G458" s="35">
        <v>4909.58</v>
      </c>
      <c r="H458" s="226" t="str">
        <f t="shared" si="5"/>
        <v>FRANCE TELECOM@SELL@-455@4909.58</v>
      </c>
      <c r="I458" s="193" t="str">
        <f t="shared" si="1"/>
        <v/>
      </c>
      <c r="J458" s="193" t="str">
        <f t="shared" si="2"/>
        <v>FRANCE TELECOM</v>
      </c>
      <c r="K458" s="126">
        <f t="shared" si="3"/>
        <v>0</v>
      </c>
      <c r="L458" s="126">
        <f t="shared" si="4"/>
        <v>1049.82</v>
      </c>
      <c r="M458" s="195" t="str">
        <f>IF(AND($N458&lt;&gt;"",$O458&lt;&gt;0),MAXIFS(Investment!$L:$L,Investment!$D:$D,$N458),"")</f>
        <v/>
      </c>
      <c r="N458" s="187"/>
      <c r="P458" s="35"/>
    </row>
    <row r="459">
      <c r="A459" s="7">
        <v>41122.0</v>
      </c>
      <c r="C459" s="30" t="s">
        <v>361</v>
      </c>
      <c r="D459" s="10" t="s">
        <v>381</v>
      </c>
      <c r="E459" s="36">
        <v>-33.0</v>
      </c>
      <c r="F459" s="145">
        <v>37.93</v>
      </c>
      <c r="G459" s="35">
        <v>1250.4</v>
      </c>
      <c r="H459" s="226" t="str">
        <f t="shared" si="5"/>
        <v>TOTAL@SELL@-33@1250.4</v>
      </c>
      <c r="I459" s="193" t="str">
        <f t="shared" si="1"/>
        <v/>
      </c>
      <c r="J459" s="193" t="str">
        <f t="shared" si="2"/>
        <v>TOTAL</v>
      </c>
      <c r="K459" s="126">
        <f t="shared" si="3"/>
        <v>0</v>
      </c>
      <c r="L459" s="126">
        <f t="shared" si="4"/>
        <v>137.91</v>
      </c>
      <c r="M459" s="195" t="str">
        <f>IF(AND($N459&lt;&gt;"",$O459&lt;&gt;0),MAXIFS(Investment!$L:$L,Investment!$D:$D,$N459),"")</f>
        <v/>
      </c>
      <c r="N459" s="187"/>
      <c r="P459" s="35"/>
    </row>
    <row r="460">
      <c r="A460" s="7">
        <v>41122.0</v>
      </c>
      <c r="C460" s="30" t="s">
        <v>711</v>
      </c>
      <c r="D460" s="10" t="s">
        <v>381</v>
      </c>
      <c r="E460" s="36">
        <v>-70.0</v>
      </c>
      <c r="F460" s="145">
        <v>20.6</v>
      </c>
      <c r="G460" s="35">
        <v>1440.7</v>
      </c>
      <c r="H460" s="226" t="str">
        <f t="shared" si="5"/>
        <v>BOUYGUES@SELL@-70@1440.7</v>
      </c>
      <c r="I460" s="193" t="str">
        <f t="shared" si="1"/>
        <v/>
      </c>
      <c r="J460" s="193" t="str">
        <f t="shared" si="2"/>
        <v>BOUYGUES</v>
      </c>
      <c r="K460" s="126">
        <f t="shared" si="3"/>
        <v>0</v>
      </c>
      <c r="L460" s="126">
        <f t="shared" si="4"/>
        <v>1091.52</v>
      </c>
      <c r="M460" s="195" t="str">
        <f>IF(AND($N460&lt;&gt;"",$O460&lt;&gt;0),MAXIFS(Investment!$L:$L,Investment!$D:$D,$N460),"")</f>
        <v/>
      </c>
      <c r="N460" s="187"/>
      <c r="P460" s="35"/>
    </row>
    <row r="461">
      <c r="A461" s="7">
        <v>41122.0</v>
      </c>
      <c r="C461" s="30" t="s">
        <v>719</v>
      </c>
      <c r="D461" s="10" t="s">
        <v>381</v>
      </c>
      <c r="E461" s="36">
        <v>-74.0</v>
      </c>
      <c r="F461" s="145">
        <v>18.27</v>
      </c>
      <c r="G461" s="35">
        <v>1350.39</v>
      </c>
      <c r="H461" s="226" t="str">
        <f t="shared" si="5"/>
        <v>GDF SUEZ@SELL@-74@1350.39</v>
      </c>
      <c r="I461" s="193" t="str">
        <f t="shared" si="1"/>
        <v/>
      </c>
      <c r="J461" s="193" t="str">
        <f t="shared" si="2"/>
        <v>GDF SUEZ</v>
      </c>
      <c r="K461" s="126">
        <f t="shared" si="3"/>
        <v>0</v>
      </c>
      <c r="L461" s="126">
        <f t="shared" si="4"/>
        <v>123.37</v>
      </c>
      <c r="M461" s="195" t="str">
        <f>IF(AND($N461&lt;&gt;"",$O461&lt;&gt;0),MAXIFS(Investment!$L:$L,Investment!$D:$D,$N461),"")</f>
        <v/>
      </c>
      <c r="N461" s="187"/>
      <c r="P461" s="35"/>
    </row>
    <row r="462">
      <c r="A462" s="7">
        <v>41122.0</v>
      </c>
      <c r="C462" s="30" t="s">
        <v>710</v>
      </c>
      <c r="D462" s="10" t="s">
        <v>381</v>
      </c>
      <c r="E462" s="36">
        <v>-70.0</v>
      </c>
      <c r="F462" s="145">
        <v>16.67</v>
      </c>
      <c r="G462" s="35">
        <v>1165.5</v>
      </c>
      <c r="H462" s="226" t="str">
        <f t="shared" si="5"/>
        <v>EDF@SELL@-70@1165.5</v>
      </c>
      <c r="I462" s="193" t="str">
        <f t="shared" si="1"/>
        <v/>
      </c>
      <c r="J462" s="193" t="str">
        <f t="shared" si="2"/>
        <v>EDF</v>
      </c>
      <c r="K462" s="126">
        <f t="shared" si="3"/>
        <v>0</v>
      </c>
      <c r="L462" s="126">
        <f t="shared" si="4"/>
        <v>1451.96</v>
      </c>
      <c r="M462" s="195" t="str">
        <f>IF(AND($N462&lt;&gt;"",$O462&lt;&gt;0),MAXIFS(Investment!$L:$L,Investment!$D:$D,$N462),"")</f>
        <v/>
      </c>
      <c r="N462" s="187"/>
      <c r="P462" s="35"/>
    </row>
    <row r="463">
      <c r="A463" s="7">
        <v>41100.0</v>
      </c>
      <c r="C463" s="30" t="s">
        <v>722</v>
      </c>
      <c r="D463" s="10" t="s">
        <v>381</v>
      </c>
      <c r="E463" s="36">
        <v>-263.0</v>
      </c>
      <c r="F463" s="145">
        <v>15.08</v>
      </c>
      <c r="G463" s="35">
        <v>3962.47</v>
      </c>
      <c r="H463" s="226" t="str">
        <f t="shared" si="5"/>
        <v>VIVENDI@SELL@-263@3962.47</v>
      </c>
      <c r="I463" s="193" t="str">
        <f t="shared" si="1"/>
        <v/>
      </c>
      <c r="J463" s="193" t="str">
        <f t="shared" si="2"/>
        <v>VIVENDI</v>
      </c>
      <c r="K463" s="126">
        <f t="shared" si="3"/>
        <v>0</v>
      </c>
      <c r="L463" s="126">
        <f t="shared" si="4"/>
        <v>460.31</v>
      </c>
      <c r="M463" s="195" t="str">
        <f>IF(AND($N463&lt;&gt;"",$O463&lt;&gt;0),MAXIFS(Investment!$L:$L,Investment!$D:$D,$N463),"")</f>
        <v/>
      </c>
      <c r="N463" s="187"/>
      <c r="P463" s="35"/>
    </row>
    <row r="464">
      <c r="A464" s="7">
        <v>41081.0</v>
      </c>
      <c r="C464" s="30" t="s">
        <v>361</v>
      </c>
      <c r="D464" s="10" t="s">
        <v>376</v>
      </c>
      <c r="E464" s="36"/>
      <c r="F464" s="145"/>
      <c r="G464" s="35">
        <v>16.32</v>
      </c>
      <c r="H464" s="226" t="str">
        <f t="shared" si="5"/>
        <v>TOTAL@DIVIDEND@@16.32</v>
      </c>
      <c r="I464" s="193" t="str">
        <f t="shared" si="1"/>
        <v/>
      </c>
      <c r="J464" s="193" t="str">
        <f t="shared" si="2"/>
        <v>TOTAL</v>
      </c>
      <c r="K464" s="126">
        <f t="shared" si="3"/>
        <v>0</v>
      </c>
      <c r="L464" s="126">
        <f t="shared" si="4"/>
        <v>137.91</v>
      </c>
      <c r="M464" s="195" t="str">
        <f>IF(AND($N464&lt;&gt;"",$O464&lt;&gt;0),MAXIFS(Investment!$L:$L,Investment!$D:$D,$N464),"")</f>
        <v/>
      </c>
      <c r="N464" s="187"/>
      <c r="P464" s="35"/>
    </row>
    <row r="465">
      <c r="A465" s="7">
        <v>41073.0</v>
      </c>
      <c r="B465" s="10"/>
      <c r="C465" s="212" t="s">
        <v>721</v>
      </c>
      <c r="D465" s="10" t="s">
        <v>376</v>
      </c>
      <c r="E465" s="36"/>
      <c r="F465" s="145"/>
      <c r="G465" s="35">
        <v>314.9</v>
      </c>
      <c r="H465" s="226" t="str">
        <f t="shared" si="5"/>
        <v>FRANCE TELECOM@DIVIDEND@@314.9</v>
      </c>
      <c r="I465" s="193" t="str">
        <f t="shared" si="1"/>
        <v/>
      </c>
      <c r="J465" s="193" t="str">
        <f t="shared" si="2"/>
        <v>FRANCE TELECOM</v>
      </c>
      <c r="K465" s="126">
        <f t="shared" si="3"/>
        <v>0</v>
      </c>
      <c r="L465" s="126">
        <f t="shared" si="4"/>
        <v>1049.82</v>
      </c>
      <c r="M465" s="195" t="str">
        <f>IF(AND($N465&lt;&gt;"",$O465&lt;&gt;0),MAXIFS(Investment!$L:$L,Investment!$D:$D,$N465),"")</f>
        <v/>
      </c>
      <c r="N465" s="187"/>
      <c r="P465" s="35"/>
    </row>
    <row r="466">
      <c r="A466" s="7">
        <v>41066.0</v>
      </c>
      <c r="B466" s="10"/>
      <c r="C466" s="212" t="s">
        <v>710</v>
      </c>
      <c r="D466" s="10" t="s">
        <v>376</v>
      </c>
      <c r="E466" s="36"/>
      <c r="F466" s="145"/>
      <c r="G466" s="35">
        <v>35.14</v>
      </c>
      <c r="H466" s="226" t="str">
        <f t="shared" si="5"/>
        <v>EDF@DIVIDEND@@35.14</v>
      </c>
      <c r="I466" s="193" t="str">
        <f t="shared" si="1"/>
        <v/>
      </c>
      <c r="J466" s="193" t="str">
        <f t="shared" si="2"/>
        <v>EDF</v>
      </c>
      <c r="K466" s="126">
        <f t="shared" si="3"/>
        <v>0</v>
      </c>
      <c r="L466" s="126">
        <f t="shared" si="4"/>
        <v>1451.96</v>
      </c>
      <c r="M466" s="195" t="str">
        <f>IF(AND($N466&lt;&gt;"",$O466&lt;&gt;0),MAXIFS(Investment!$L:$L,Investment!$D:$D,$N466),"")</f>
        <v/>
      </c>
      <c r="N466" s="187"/>
      <c r="P466" s="35"/>
    </row>
    <row r="467">
      <c r="A467" s="7">
        <v>41061.0</v>
      </c>
      <c r="B467" s="10"/>
      <c r="C467" s="212" t="s">
        <v>722</v>
      </c>
      <c r="D467" s="10" t="s">
        <v>376</v>
      </c>
      <c r="E467" s="36"/>
      <c r="F467" s="145"/>
      <c r="G467" s="35">
        <v>6.5</v>
      </c>
      <c r="H467" s="226" t="str">
        <f t="shared" si="5"/>
        <v>VIVENDI@DIVIDEND@@6.5</v>
      </c>
      <c r="I467" s="193" t="str">
        <f t="shared" si="1"/>
        <v/>
      </c>
      <c r="J467" s="193" t="str">
        <f t="shared" si="2"/>
        <v>VIVENDI</v>
      </c>
      <c r="K467" s="126">
        <f t="shared" si="3"/>
        <v>0</v>
      </c>
      <c r="L467" s="126">
        <f t="shared" si="4"/>
        <v>460.31</v>
      </c>
      <c r="M467" s="195" t="str">
        <f>IF(AND($N467&lt;&gt;"",$O467&lt;&gt;0),MAXIFS(Investment!$L:$L,Investment!$D:$D,$N467),"")</f>
        <v/>
      </c>
      <c r="N467" s="187"/>
      <c r="P467" s="35"/>
    </row>
    <row r="468">
      <c r="A468" s="7">
        <v>41061.0</v>
      </c>
      <c r="B468" s="10"/>
      <c r="C468" s="212" t="s">
        <v>722</v>
      </c>
      <c r="D468" s="10" t="s">
        <v>376</v>
      </c>
      <c r="E468" s="36">
        <v>-15.0</v>
      </c>
      <c r="F468" s="145">
        <v>0.0</v>
      </c>
      <c r="G468" s="35"/>
      <c r="H468" s="226" t="str">
        <f t="shared" si="5"/>
        <v>VIVENDI@DIVIDEND@-15@</v>
      </c>
      <c r="I468" s="193" t="str">
        <f t="shared" si="1"/>
        <v/>
      </c>
      <c r="J468" s="193" t="str">
        <f t="shared" si="2"/>
        <v>VIVENDI</v>
      </c>
      <c r="K468" s="126">
        <f t="shared" si="3"/>
        <v>0</v>
      </c>
      <c r="L468" s="126">
        <f t="shared" si="4"/>
        <v>460.31</v>
      </c>
      <c r="M468" s="195" t="str">
        <f>IF(AND($N468&lt;&gt;"",$O468&lt;&gt;0),MAXIFS(Investment!$L:$L,Investment!$D:$D,$N468),"")</f>
        <v/>
      </c>
      <c r="N468" s="187"/>
      <c r="P468" s="35"/>
    </row>
    <row r="469">
      <c r="A469" s="7">
        <v>41053.0</v>
      </c>
      <c r="C469" s="30" t="s">
        <v>719</v>
      </c>
      <c r="D469" s="10" t="s">
        <v>376</v>
      </c>
      <c r="E469" s="36"/>
      <c r="F469" s="145"/>
      <c r="G469" s="35">
        <v>41.75</v>
      </c>
      <c r="H469" s="226" t="str">
        <f t="shared" si="5"/>
        <v>GDF SUEZ@DIVIDEND@@41.75</v>
      </c>
      <c r="I469" s="193" t="str">
        <f t="shared" si="1"/>
        <v/>
      </c>
      <c r="J469" s="193" t="str">
        <f t="shared" si="2"/>
        <v>GDF SUEZ</v>
      </c>
      <c r="K469" s="126">
        <f t="shared" si="3"/>
        <v>0</v>
      </c>
      <c r="L469" s="126">
        <f t="shared" si="4"/>
        <v>123.37</v>
      </c>
      <c r="M469" s="195" t="str">
        <f>IF(AND($N469&lt;&gt;"",$O469&lt;&gt;0),MAXIFS(Investment!$L:$L,Investment!$D:$D,$N469),"")</f>
        <v/>
      </c>
      <c r="N469" s="187"/>
      <c r="P469" s="35"/>
    </row>
    <row r="470">
      <c r="A470" s="7">
        <v>41050.0</v>
      </c>
      <c r="B470" s="10"/>
      <c r="C470" s="212" t="s">
        <v>722</v>
      </c>
      <c r="D470" s="10" t="s">
        <v>376</v>
      </c>
      <c r="E470" s="36">
        <v>8.0</v>
      </c>
      <c r="F470" s="145">
        <v>13.2</v>
      </c>
      <c r="G470" s="35"/>
      <c r="H470" s="226" t="str">
        <f t="shared" si="5"/>
        <v>VIVENDI@DIVIDEND@8@</v>
      </c>
      <c r="I470" s="193" t="str">
        <f t="shared" si="1"/>
        <v/>
      </c>
      <c r="J470" s="193" t="str">
        <f t="shared" si="2"/>
        <v>VIVENDI</v>
      </c>
      <c r="K470" s="126">
        <f t="shared" si="3"/>
        <v>0</v>
      </c>
      <c r="L470" s="126">
        <f t="shared" si="4"/>
        <v>460.31</v>
      </c>
      <c r="M470" s="195" t="str">
        <f>IF(AND($N470&lt;&gt;"",$O470&lt;&gt;0),MAXIFS(Investment!$L:$L,Investment!$D:$D,$N470),"")</f>
        <v/>
      </c>
      <c r="N470" s="187"/>
      <c r="P470" s="35"/>
    </row>
    <row r="471">
      <c r="A471" s="7">
        <v>41050.0</v>
      </c>
      <c r="B471" s="10"/>
      <c r="C471" s="212" t="s">
        <v>722</v>
      </c>
      <c r="D471" s="10" t="s">
        <v>376</v>
      </c>
      <c r="E471" s="36">
        <v>-240.0</v>
      </c>
      <c r="F471" s="145">
        <v>0.0</v>
      </c>
      <c r="G471" s="35"/>
      <c r="H471" s="226" t="str">
        <f t="shared" si="5"/>
        <v>VIVENDI@DIVIDEND@-240@</v>
      </c>
      <c r="I471" s="193" t="str">
        <f t="shared" si="1"/>
        <v/>
      </c>
      <c r="J471" s="193" t="str">
        <f t="shared" si="2"/>
        <v>VIVENDI</v>
      </c>
      <c r="K471" s="126">
        <f t="shared" si="3"/>
        <v>0</v>
      </c>
      <c r="L471" s="126">
        <f t="shared" si="4"/>
        <v>460.31</v>
      </c>
      <c r="M471" s="195" t="str">
        <f>IF(AND($N471&lt;&gt;"",$O471&lt;&gt;0),MAXIFS(Investment!$L:$L,Investment!$D:$D,$N471),"")</f>
        <v/>
      </c>
      <c r="N471" s="187"/>
      <c r="P471" s="35"/>
    </row>
    <row r="472">
      <c r="A472" s="7">
        <v>41038.0</v>
      </c>
      <c r="C472" s="30" t="s">
        <v>722</v>
      </c>
      <c r="D472" s="10" t="s">
        <v>376</v>
      </c>
      <c r="E472" s="36"/>
      <c r="F472" s="145"/>
      <c r="G472" s="35">
        <v>220.61</v>
      </c>
      <c r="H472" s="226" t="str">
        <f t="shared" si="5"/>
        <v>VIVENDI@DIVIDEND@@220.61</v>
      </c>
      <c r="I472" s="193" t="str">
        <f t="shared" si="1"/>
        <v/>
      </c>
      <c r="J472" s="193" t="str">
        <f t="shared" si="2"/>
        <v>VIVENDI</v>
      </c>
      <c r="K472" s="126">
        <f t="shared" si="3"/>
        <v>0</v>
      </c>
      <c r="L472" s="126">
        <f t="shared" si="4"/>
        <v>460.31</v>
      </c>
      <c r="M472" s="195" t="str">
        <f>IF(AND($N472&lt;&gt;"",$O472&lt;&gt;0),MAXIFS(Investment!$L:$L,Investment!$D:$D,$N472),"")</f>
        <v/>
      </c>
      <c r="N472" s="187"/>
      <c r="P472" s="35"/>
    </row>
    <row r="473">
      <c r="A473" s="7">
        <v>41038.0</v>
      </c>
      <c r="B473" s="10"/>
      <c r="C473" s="212" t="s">
        <v>722</v>
      </c>
      <c r="D473" s="10" t="s">
        <v>376</v>
      </c>
      <c r="E473" s="36">
        <v>255.0</v>
      </c>
      <c r="F473" s="145">
        <v>0.0</v>
      </c>
      <c r="G473" s="35"/>
      <c r="H473" s="226" t="str">
        <f t="shared" si="5"/>
        <v>VIVENDI@DIVIDEND@255@</v>
      </c>
      <c r="I473" s="193" t="str">
        <f t="shared" si="1"/>
        <v/>
      </c>
      <c r="J473" s="193" t="str">
        <f t="shared" si="2"/>
        <v>VIVENDI</v>
      </c>
      <c r="K473" s="126">
        <f t="shared" si="3"/>
        <v>0</v>
      </c>
      <c r="L473" s="126">
        <f t="shared" si="4"/>
        <v>460.31</v>
      </c>
      <c r="M473" s="195" t="str">
        <f>IF(AND($N473&lt;&gt;"",$O473&lt;&gt;0),MAXIFS(Investment!$L:$L,Investment!$D:$D,$N473),"")</f>
        <v/>
      </c>
      <c r="N473" s="187"/>
      <c r="P473" s="35"/>
    </row>
    <row r="474">
      <c r="A474" s="7">
        <v>41033.0</v>
      </c>
      <c r="C474" s="30" t="s">
        <v>711</v>
      </c>
      <c r="D474" s="10" t="s">
        <v>376</v>
      </c>
      <c r="E474" s="36"/>
      <c r="F474" s="145"/>
      <c r="G474" s="35">
        <v>96.91</v>
      </c>
      <c r="H474" s="226" t="str">
        <f t="shared" si="5"/>
        <v>BOUYGUES@DIVIDEND@@96.91</v>
      </c>
      <c r="I474" s="193" t="str">
        <f t="shared" si="1"/>
        <v/>
      </c>
      <c r="J474" s="193" t="str">
        <f t="shared" si="2"/>
        <v>BOUYGUES</v>
      </c>
      <c r="K474" s="126">
        <f t="shared" si="3"/>
        <v>0</v>
      </c>
      <c r="L474" s="126">
        <f t="shared" si="4"/>
        <v>1091.52</v>
      </c>
      <c r="M474" s="195" t="str">
        <f>IF(AND($N474&lt;&gt;"",$O474&lt;&gt;0),MAXIFS(Investment!$L:$L,Investment!$D:$D,$N474),"")</f>
        <v/>
      </c>
      <c r="N474" s="187"/>
      <c r="P474" s="35"/>
    </row>
    <row r="475">
      <c r="A475" s="7">
        <v>41025.0</v>
      </c>
      <c r="C475" s="30" t="s">
        <v>361</v>
      </c>
      <c r="D475" s="10" t="s">
        <v>369</v>
      </c>
      <c r="E475" s="36">
        <v>33.0</v>
      </c>
      <c r="F475" s="145">
        <v>36.5</v>
      </c>
      <c r="G475" s="35">
        <v>-1205.42</v>
      </c>
      <c r="H475" s="226" t="str">
        <f t="shared" si="5"/>
        <v>TOTAL@BUY@33@-1205.42</v>
      </c>
      <c r="I475" s="193" t="str">
        <f t="shared" si="1"/>
        <v/>
      </c>
      <c r="J475" s="193" t="str">
        <f t="shared" si="2"/>
        <v>TOTAL</v>
      </c>
      <c r="K475" s="126">
        <f t="shared" si="3"/>
        <v>0</v>
      </c>
      <c r="L475" s="126">
        <f t="shared" si="4"/>
        <v>137.91</v>
      </c>
      <c r="M475" s="195" t="str">
        <f>IF(AND($N475&lt;&gt;"",$O475&lt;&gt;0),MAXIFS(Investment!$L:$L,Investment!$D:$D,$N475),"")</f>
        <v/>
      </c>
      <c r="N475" s="226"/>
      <c r="P475" s="59"/>
    </row>
    <row r="476">
      <c r="A476" s="7">
        <v>41025.0</v>
      </c>
      <c r="C476" s="30" t="s">
        <v>740</v>
      </c>
      <c r="D476" s="10" t="s">
        <v>381</v>
      </c>
      <c r="E476" s="36">
        <v>-135.0</v>
      </c>
      <c r="F476" s="145">
        <v>9.03</v>
      </c>
      <c r="G476" s="35">
        <v>1218.49</v>
      </c>
      <c r="H476" s="226" t="str">
        <f t="shared" si="5"/>
        <v>PEUGEOT@SELL@-135@1218.49</v>
      </c>
      <c r="I476" s="193" t="str">
        <f t="shared" si="1"/>
        <v/>
      </c>
      <c r="J476" s="193" t="str">
        <f t="shared" si="2"/>
        <v>PEUGEOT</v>
      </c>
      <c r="K476" s="126">
        <f t="shared" si="3"/>
        <v>0</v>
      </c>
      <c r="L476" s="126">
        <f t="shared" si="4"/>
        <v>-532.01</v>
      </c>
      <c r="M476" s="195" t="str">
        <f>IF(AND($N476&lt;&gt;"",$O476&lt;&gt;0),MAXIFS(Investment!$L:$L,Investment!$D:$D,$N476),"")</f>
        <v/>
      </c>
      <c r="N476" s="187"/>
      <c r="P476" s="35"/>
    </row>
    <row r="477">
      <c r="A477" s="7">
        <v>41024.0</v>
      </c>
      <c r="B477" s="10"/>
      <c r="C477" s="212" t="s">
        <v>719</v>
      </c>
      <c r="D477" s="244" t="s">
        <v>376</v>
      </c>
      <c r="E477" s="36">
        <v>2.0</v>
      </c>
      <c r="F477" s="145">
        <v>16.43</v>
      </c>
      <c r="G477" s="59"/>
      <c r="H477" s="226" t="str">
        <f t="shared" si="5"/>
        <v>GDF SUEZ@DIVIDEND@2@</v>
      </c>
      <c r="I477" s="193" t="str">
        <f t="shared" si="1"/>
        <v/>
      </c>
      <c r="J477" s="193" t="str">
        <f t="shared" si="2"/>
        <v>GDF SUEZ</v>
      </c>
      <c r="K477" s="126">
        <f t="shared" si="3"/>
        <v>0</v>
      </c>
      <c r="L477" s="126">
        <f t="shared" si="4"/>
        <v>123.37</v>
      </c>
      <c r="M477" s="195" t="str">
        <f>IF(AND($N477&lt;&gt;"",$O477&lt;&gt;0),MAXIFS(Investment!$L:$L,Investment!$D:$D,$N477),"")</f>
        <v/>
      </c>
      <c r="N477" s="187"/>
      <c r="P477" s="35"/>
    </row>
    <row r="478">
      <c r="A478" s="7">
        <v>41024.0</v>
      </c>
      <c r="B478" s="10"/>
      <c r="C478" s="212" t="s">
        <v>722</v>
      </c>
      <c r="D478" s="244" t="s">
        <v>376</v>
      </c>
      <c r="E478" s="36"/>
      <c r="F478" s="145"/>
      <c r="G478" s="35">
        <v>-32.86</v>
      </c>
      <c r="H478" s="226" t="str">
        <f t="shared" si="5"/>
        <v>VIVENDI@DIVIDEND@@-32.86</v>
      </c>
      <c r="I478" s="193" t="str">
        <f t="shared" si="1"/>
        <v/>
      </c>
      <c r="J478" s="193" t="str">
        <f t="shared" si="2"/>
        <v>VIVENDI</v>
      </c>
      <c r="K478" s="126">
        <f t="shared" si="3"/>
        <v>0</v>
      </c>
      <c r="L478" s="126">
        <f t="shared" si="4"/>
        <v>460.31</v>
      </c>
      <c r="M478" s="195" t="str">
        <f>IF(AND($N478&lt;&gt;"",$O478&lt;&gt;0),MAXIFS(Investment!$L:$L,Investment!$D:$D,$N478),"")</f>
        <v/>
      </c>
      <c r="N478" s="187"/>
      <c r="P478" s="35"/>
    </row>
    <row r="479">
      <c r="A479" s="7">
        <v>41004.0</v>
      </c>
      <c r="C479" s="30" t="s">
        <v>711</v>
      </c>
      <c r="D479" s="10" t="s">
        <v>369</v>
      </c>
      <c r="E479" s="36">
        <v>70.0</v>
      </c>
      <c r="F479" s="145">
        <v>21.5</v>
      </c>
      <c r="G479" s="35">
        <v>-1506.35</v>
      </c>
      <c r="H479" s="226" t="str">
        <f t="shared" si="5"/>
        <v>BOUYGUES@BUY@70@-1506.35</v>
      </c>
      <c r="I479" s="193" t="str">
        <f t="shared" si="1"/>
        <v/>
      </c>
      <c r="J479" s="193" t="str">
        <f t="shared" si="2"/>
        <v>BOUYGUES</v>
      </c>
      <c r="K479" s="126">
        <f t="shared" si="3"/>
        <v>0</v>
      </c>
      <c r="L479" s="126">
        <f t="shared" si="4"/>
        <v>1091.52</v>
      </c>
      <c r="M479" s="195" t="str">
        <f>IF(AND($N479&lt;&gt;"",$O479&lt;&gt;0),MAXIFS(Investment!$L:$L,Investment!$D:$D,$N479),"")</f>
        <v/>
      </c>
      <c r="N479" s="187"/>
      <c r="P479" s="35"/>
    </row>
    <row r="480">
      <c r="A480" s="7">
        <v>41002.0</v>
      </c>
      <c r="B480" s="138"/>
      <c r="C480" s="220"/>
      <c r="D480" s="10" t="s">
        <v>364</v>
      </c>
      <c r="E480" s="138"/>
      <c r="F480" s="145"/>
      <c r="G480" s="35">
        <v>1520.0</v>
      </c>
      <c r="H480" s="226" t="str">
        <f t="shared" si="5"/>
        <v>@APPROVISIONNEMENT@@1520</v>
      </c>
      <c r="I480" s="193" t="str">
        <f t="shared" si="1"/>
        <v/>
      </c>
      <c r="J480" s="193" t="str">
        <f t="shared" si="2"/>
        <v/>
      </c>
      <c r="K480" s="126" t="str">
        <f t="shared" si="3"/>
        <v/>
      </c>
      <c r="L480" s="126" t="str">
        <f t="shared" si="4"/>
        <v/>
      </c>
      <c r="M480" s="195" t="str">
        <f>IF(AND($N480&lt;&gt;"",$O480&lt;&gt;0),MAXIFS(Investment!$L:$L,Investment!$D:$D,$N480),"")</f>
        <v/>
      </c>
      <c r="N480" s="30"/>
    </row>
    <row r="481">
      <c r="A481" s="7">
        <v>40987.0</v>
      </c>
      <c r="C481" s="30" t="s">
        <v>719</v>
      </c>
      <c r="D481" s="10" t="s">
        <v>369</v>
      </c>
      <c r="E481" s="36">
        <v>72.0</v>
      </c>
      <c r="F481" s="145">
        <v>19.86</v>
      </c>
      <c r="G481" s="35">
        <v>-1430.85</v>
      </c>
      <c r="H481" s="226" t="str">
        <f t="shared" si="5"/>
        <v>GDF SUEZ@BUY@72@-1430.85</v>
      </c>
      <c r="I481" s="193" t="str">
        <f t="shared" si="1"/>
        <v/>
      </c>
      <c r="J481" s="193" t="str">
        <f t="shared" si="2"/>
        <v>GDF SUEZ</v>
      </c>
      <c r="K481" s="126">
        <f t="shared" si="3"/>
        <v>0</v>
      </c>
      <c r="L481" s="126">
        <f t="shared" si="4"/>
        <v>123.37</v>
      </c>
      <c r="M481" s="195" t="str">
        <f>IF(AND($N481&lt;&gt;"",$O481&lt;&gt;0),MAXIFS(Investment!$L:$L,Investment!$D:$D,$N481),"")</f>
        <v/>
      </c>
      <c r="N481" s="187"/>
      <c r="P481" s="35"/>
    </row>
    <row r="482">
      <c r="A482" s="7">
        <v>40983.0</v>
      </c>
      <c r="B482" s="268"/>
      <c r="C482" s="269" t="s">
        <v>740</v>
      </c>
      <c r="D482" s="270" t="s">
        <v>369</v>
      </c>
      <c r="E482" s="36">
        <v>135.0</v>
      </c>
      <c r="F482" s="145">
        <v>12.96</v>
      </c>
      <c r="G482" s="35">
        <v>-1750.5</v>
      </c>
      <c r="H482" s="226"/>
      <c r="I482" s="193" t="str">
        <f t="shared" si="1"/>
        <v/>
      </c>
      <c r="J482" s="193" t="str">
        <f t="shared" si="2"/>
        <v>PEUGEOT</v>
      </c>
      <c r="K482" s="126">
        <f t="shared" si="3"/>
        <v>0</v>
      </c>
      <c r="L482" s="126">
        <f t="shared" si="4"/>
        <v>-532.01</v>
      </c>
      <c r="M482" s="195" t="str">
        <f>IF(AND($N482&lt;&gt;"",$O482&lt;&gt;0),MAXIFS(Investment!$L:$L,Investment!$D:$D,$N482),"")</f>
        <v/>
      </c>
      <c r="N482" s="187"/>
      <c r="P482" s="35"/>
    </row>
    <row r="483">
      <c r="A483" s="7">
        <v>40983.0</v>
      </c>
      <c r="C483" s="30" t="s">
        <v>721</v>
      </c>
      <c r="D483" s="10" t="s">
        <v>369</v>
      </c>
      <c r="E483" s="36">
        <v>110.0</v>
      </c>
      <c r="F483" s="145">
        <v>11.24</v>
      </c>
      <c r="G483" s="35">
        <v>-1236.96</v>
      </c>
      <c r="H483" s="226" t="str">
        <f t="shared" ref="H483:H499" si="6">IF(D483&lt;&gt;"",C483 &amp; "@" &amp; D483 &amp; "@" &amp; E483 &amp; "@" &amp; G483,"")</f>
        <v>FRANCE TELECOM@BUY@110@-1236.96</v>
      </c>
      <c r="I483" s="193" t="str">
        <f t="shared" si="1"/>
        <v/>
      </c>
      <c r="J483" s="193" t="str">
        <f t="shared" si="2"/>
        <v>FRANCE TELECOM</v>
      </c>
      <c r="K483" s="126">
        <f t="shared" si="3"/>
        <v>0</v>
      </c>
      <c r="L483" s="126">
        <f t="shared" si="4"/>
        <v>1049.82</v>
      </c>
      <c r="M483" s="195" t="str">
        <f>IF(AND($N483&lt;&gt;"",$O483&lt;&gt;0),MAXIFS(Investment!$L:$L,Investment!$D:$D,$N483),"")</f>
        <v/>
      </c>
      <c r="N483" s="187"/>
      <c r="P483" s="35"/>
    </row>
    <row r="484">
      <c r="A484" s="7">
        <v>40983.0</v>
      </c>
      <c r="C484" s="30" t="s">
        <v>764</v>
      </c>
      <c r="D484" s="10" t="s">
        <v>381</v>
      </c>
      <c r="E484" s="36">
        <v>-445.0</v>
      </c>
      <c r="F484" s="145">
        <v>5.09</v>
      </c>
      <c r="G484" s="35">
        <v>2262.12</v>
      </c>
      <c r="H484" s="226" t="str">
        <f t="shared" si="6"/>
        <v>CREDIT AGRICOLE@SELL@-445@2262.12</v>
      </c>
      <c r="I484" s="193" t="str">
        <f t="shared" si="1"/>
        <v/>
      </c>
      <c r="J484" s="193" t="str">
        <f t="shared" si="2"/>
        <v>CREDIT AGRICOLE</v>
      </c>
      <c r="K484" s="126">
        <f t="shared" si="3"/>
        <v>0</v>
      </c>
      <c r="L484" s="126">
        <f t="shared" si="4"/>
        <v>173.19</v>
      </c>
      <c r="M484" s="195" t="str">
        <f>IF(AND($N484&lt;&gt;"",$O484&lt;&gt;0),MAXIFS(Investment!$L:$L,Investment!$D:$D,$N484),"")</f>
        <v/>
      </c>
      <c r="N484" s="187"/>
      <c r="P484" s="35"/>
    </row>
    <row r="485">
      <c r="A485" s="7">
        <v>40980.0</v>
      </c>
      <c r="B485" s="138"/>
      <c r="C485" s="220"/>
      <c r="D485" s="10" t="s">
        <v>364</v>
      </c>
      <c r="E485" s="138"/>
      <c r="F485" s="145"/>
      <c r="G485" s="35">
        <v>1700.0</v>
      </c>
      <c r="H485" s="226" t="str">
        <f t="shared" si="6"/>
        <v>@APPROVISIONNEMENT@@1700</v>
      </c>
      <c r="I485" s="193" t="str">
        <f t="shared" si="1"/>
        <v/>
      </c>
      <c r="J485" s="193" t="str">
        <f t="shared" si="2"/>
        <v/>
      </c>
      <c r="K485" s="126" t="str">
        <f t="shared" si="3"/>
        <v/>
      </c>
      <c r="L485" s="126" t="str">
        <f t="shared" si="4"/>
        <v/>
      </c>
      <c r="M485" s="195" t="str">
        <f>IF(AND($N485&lt;&gt;"",$O485&lt;&gt;0),MAXIFS(Investment!$L:$L,Investment!$D:$D,$N485),"")</f>
        <v/>
      </c>
      <c r="N485" s="30"/>
    </row>
    <row r="486">
      <c r="A486" s="7">
        <v>40970.0</v>
      </c>
      <c r="C486" s="30" t="s">
        <v>722</v>
      </c>
      <c r="D486" s="10" t="s">
        <v>369</v>
      </c>
      <c r="E486" s="36">
        <v>100.0</v>
      </c>
      <c r="F486" s="145">
        <v>14.2</v>
      </c>
      <c r="G486" s="35">
        <v>-1421.28</v>
      </c>
      <c r="H486" s="226" t="str">
        <f t="shared" si="6"/>
        <v>VIVENDI@BUY@100@-1421.28</v>
      </c>
      <c r="I486" s="193" t="str">
        <f t="shared" si="1"/>
        <v/>
      </c>
      <c r="J486" s="193" t="str">
        <f t="shared" si="2"/>
        <v>VIVENDI</v>
      </c>
      <c r="K486" s="126">
        <f t="shared" si="3"/>
        <v>0</v>
      </c>
      <c r="L486" s="126">
        <f t="shared" si="4"/>
        <v>460.31</v>
      </c>
      <c r="M486" s="195" t="str">
        <f>IF(AND($N486&lt;&gt;"",$O486&lt;&gt;0),MAXIFS(Investment!$L:$L,Investment!$D:$D,$N486),"")</f>
        <v/>
      </c>
      <c r="N486" s="187"/>
      <c r="P486" s="35"/>
    </row>
    <row r="487">
      <c r="A487" s="7">
        <v>40969.0</v>
      </c>
      <c r="C487" s="30" t="s">
        <v>722</v>
      </c>
      <c r="D487" s="10" t="s">
        <v>369</v>
      </c>
      <c r="E487" s="36">
        <v>155.0</v>
      </c>
      <c r="F487" s="145">
        <v>14.67</v>
      </c>
      <c r="G487" s="35">
        <v>-2275.13</v>
      </c>
      <c r="H487" s="226" t="str">
        <f t="shared" si="6"/>
        <v>VIVENDI@BUY@155@-2275.13</v>
      </c>
      <c r="I487" s="193" t="str">
        <f t="shared" si="1"/>
        <v/>
      </c>
      <c r="J487" s="193" t="str">
        <f t="shared" si="2"/>
        <v>VIVENDI</v>
      </c>
      <c r="K487" s="126">
        <f t="shared" si="3"/>
        <v>0</v>
      </c>
      <c r="L487" s="126">
        <f t="shared" si="4"/>
        <v>460.31</v>
      </c>
      <c r="M487" s="195" t="str">
        <f>IF(AND($N487&lt;&gt;"",$O487&lt;&gt;0),MAXIFS(Investment!$L:$L,Investment!$D:$D,$N487),"")</f>
        <v/>
      </c>
      <c r="N487" s="187"/>
      <c r="P487" s="35"/>
    </row>
    <row r="488">
      <c r="A488" s="7">
        <v>40969.0</v>
      </c>
      <c r="C488" s="30" t="s">
        <v>793</v>
      </c>
      <c r="D488" s="10" t="s">
        <v>381</v>
      </c>
      <c r="E488" s="36">
        <v>-250.0</v>
      </c>
      <c r="F488" s="145">
        <v>9.68</v>
      </c>
      <c r="G488" s="35">
        <v>2416.57</v>
      </c>
      <c r="H488" s="226" t="str">
        <f t="shared" si="6"/>
        <v>VEOLIA ENVIRON@SELL@-250@2416.57</v>
      </c>
      <c r="I488" s="193" t="str">
        <f t="shared" si="1"/>
        <v/>
      </c>
      <c r="J488" s="193" t="str">
        <f t="shared" si="2"/>
        <v>VEOLIA ENVIRON</v>
      </c>
      <c r="K488" s="126">
        <f t="shared" si="3"/>
        <v>0</v>
      </c>
      <c r="L488" s="126">
        <f t="shared" si="4"/>
        <v>401.01</v>
      </c>
      <c r="M488" s="195" t="str">
        <f>IF(AND($N488&lt;&gt;"",$O488&lt;&gt;0),MAXIFS(Investment!$L:$L,Investment!$D:$D,$N488),"")</f>
        <v/>
      </c>
      <c r="N488" s="187"/>
      <c r="P488" s="35"/>
    </row>
    <row r="489">
      <c r="A489" s="7">
        <v>40968.0</v>
      </c>
      <c r="B489" s="138"/>
      <c r="C489" s="220"/>
      <c r="D489" s="10" t="s">
        <v>364</v>
      </c>
      <c r="E489" s="138"/>
      <c r="F489" s="145"/>
      <c r="G489" s="35">
        <v>1280.0</v>
      </c>
      <c r="H489" s="226" t="str">
        <f t="shared" si="6"/>
        <v>@APPROVISIONNEMENT@@1280</v>
      </c>
      <c r="I489" s="193" t="str">
        <f t="shared" si="1"/>
        <v/>
      </c>
      <c r="J489" s="193" t="str">
        <f t="shared" si="2"/>
        <v/>
      </c>
      <c r="K489" s="126" t="str">
        <f t="shared" si="3"/>
        <v/>
      </c>
      <c r="L489" s="126" t="str">
        <f t="shared" si="4"/>
        <v/>
      </c>
      <c r="M489" s="195" t="str">
        <f>IF(AND($N489&lt;&gt;"",$O489&lt;&gt;0),MAXIFS(Investment!$L:$L,Investment!$D:$D,$N489),"")</f>
        <v/>
      </c>
      <c r="N489" s="30"/>
    </row>
    <row r="490">
      <c r="A490" s="7">
        <v>40967.0</v>
      </c>
      <c r="C490" s="30" t="s">
        <v>764</v>
      </c>
      <c r="D490" s="10" t="s">
        <v>369</v>
      </c>
      <c r="E490" s="36">
        <v>445.0</v>
      </c>
      <c r="F490" s="145">
        <v>4.69</v>
      </c>
      <c r="G490" s="35">
        <v>-2088.93</v>
      </c>
      <c r="H490" s="226" t="str">
        <f t="shared" si="6"/>
        <v>CREDIT AGRICOLE@BUY@445@-2088.93</v>
      </c>
      <c r="I490" s="193" t="str">
        <f t="shared" si="1"/>
        <v/>
      </c>
      <c r="J490" s="193" t="str">
        <f t="shared" si="2"/>
        <v>CREDIT AGRICOLE</v>
      </c>
      <c r="K490" s="126">
        <f t="shared" si="3"/>
        <v>0</v>
      </c>
      <c r="L490" s="126">
        <f t="shared" si="4"/>
        <v>173.19</v>
      </c>
      <c r="M490" s="195" t="str">
        <f>IF(AND($N490&lt;&gt;"",$O490&lt;&gt;0),MAXIFS(Investment!$L:$L,Investment!$D:$D,$N490),"")</f>
        <v/>
      </c>
      <c r="N490" s="187"/>
      <c r="P490" s="35"/>
    </row>
    <row r="491">
      <c r="A491" s="7">
        <v>40967.0</v>
      </c>
      <c r="C491" s="30" t="s">
        <v>721</v>
      </c>
      <c r="D491" s="10" t="s">
        <v>369</v>
      </c>
      <c r="E491" s="36">
        <v>100.0</v>
      </c>
      <c r="F491" s="145">
        <v>11.66</v>
      </c>
      <c r="G491" s="35">
        <v>-1166.55</v>
      </c>
      <c r="H491" s="226" t="str">
        <f t="shared" si="6"/>
        <v>FRANCE TELECOM@BUY@100@-1166.55</v>
      </c>
      <c r="I491" s="193" t="str">
        <f t="shared" si="1"/>
        <v/>
      </c>
      <c r="J491" s="193" t="str">
        <f t="shared" si="2"/>
        <v>FRANCE TELECOM</v>
      </c>
      <c r="K491" s="126">
        <f t="shared" si="3"/>
        <v>0</v>
      </c>
      <c r="L491" s="126">
        <f t="shared" si="4"/>
        <v>1049.82</v>
      </c>
      <c r="M491" s="195" t="str">
        <f>IF(AND($N491&lt;&gt;"",$O491&lt;&gt;0),MAXIFS(Investment!$L:$L,Investment!$D:$D,$N491),"")</f>
        <v/>
      </c>
      <c r="N491" s="187"/>
      <c r="P491" s="35"/>
    </row>
    <row r="492">
      <c r="A492" s="7">
        <v>40967.0</v>
      </c>
      <c r="C492" s="30" t="s">
        <v>710</v>
      </c>
      <c r="D492" s="10" t="s">
        <v>369</v>
      </c>
      <c r="E492" s="36">
        <v>70.0</v>
      </c>
      <c r="F492" s="145">
        <v>18.58</v>
      </c>
      <c r="G492" s="35">
        <v>-1301.77</v>
      </c>
      <c r="H492" s="226" t="str">
        <f t="shared" si="6"/>
        <v>EDF@BUY@70@-1301.77</v>
      </c>
      <c r="I492" s="193" t="str">
        <f t="shared" si="1"/>
        <v/>
      </c>
      <c r="J492" s="193" t="str">
        <f t="shared" si="2"/>
        <v>EDF</v>
      </c>
      <c r="K492" s="126">
        <f t="shared" si="3"/>
        <v>0</v>
      </c>
      <c r="L492" s="126">
        <f t="shared" si="4"/>
        <v>1451.96</v>
      </c>
      <c r="M492" s="195" t="str">
        <f>IF(AND($N492&lt;&gt;"",$O492&lt;&gt;0),MAXIFS(Investment!$L:$L,Investment!$D:$D,$N492),"")</f>
        <v/>
      </c>
      <c r="N492" s="187"/>
      <c r="P492" s="35"/>
    </row>
    <row r="493">
      <c r="A493" s="7">
        <v>40963.0</v>
      </c>
      <c r="B493" s="138"/>
      <c r="C493" s="220"/>
      <c r="D493" s="10" t="s">
        <v>364</v>
      </c>
      <c r="E493" s="138"/>
      <c r="F493" s="145"/>
      <c r="G493" s="35">
        <v>5000.0</v>
      </c>
      <c r="H493" s="226" t="str">
        <f t="shared" si="6"/>
        <v>@APPROVISIONNEMENT@@5000</v>
      </c>
      <c r="I493" s="193" t="str">
        <f t="shared" si="1"/>
        <v/>
      </c>
      <c r="J493" s="193" t="str">
        <f t="shared" si="2"/>
        <v/>
      </c>
      <c r="K493" s="126" t="str">
        <f t="shared" si="3"/>
        <v/>
      </c>
      <c r="L493" s="126" t="str">
        <f t="shared" si="4"/>
        <v/>
      </c>
      <c r="M493" s="195" t="str">
        <f>IF(AND($N493&lt;&gt;"",$O493&lt;&gt;0),MAXIFS(Investment!$L:$L,Investment!$D:$D,$N493),"")</f>
        <v/>
      </c>
      <c r="N493" s="30"/>
      <c r="P493" s="35"/>
    </row>
    <row r="494">
      <c r="A494" s="7">
        <v>40917.0</v>
      </c>
      <c r="C494" s="30" t="s">
        <v>793</v>
      </c>
      <c r="D494" s="10" t="s">
        <v>369</v>
      </c>
      <c r="E494" s="36">
        <v>250.0</v>
      </c>
      <c r="F494" s="145">
        <v>8.06</v>
      </c>
      <c r="G494" s="35">
        <v>-2015.56</v>
      </c>
      <c r="H494" s="226" t="str">
        <f t="shared" si="6"/>
        <v>VEOLIA ENVIRON@BUY@250@-2015.56</v>
      </c>
      <c r="I494" s="193" t="str">
        <f t="shared" si="1"/>
        <v/>
      </c>
      <c r="J494" s="193" t="str">
        <f t="shared" si="2"/>
        <v>VEOLIA ENVIRON</v>
      </c>
      <c r="K494" s="126">
        <f t="shared" si="3"/>
        <v>0</v>
      </c>
      <c r="L494" s="126">
        <f t="shared" si="4"/>
        <v>401.01</v>
      </c>
      <c r="M494" s="195" t="str">
        <f>IF(AND($N494&lt;&gt;"",$O494&lt;&gt;0),MAXIFS(Investment!$L:$L,Investment!$D:$D,$N494),"")</f>
        <v/>
      </c>
      <c r="N494" s="187"/>
      <c r="P494" s="35"/>
    </row>
    <row r="495">
      <c r="A495" s="7">
        <v>40914.0</v>
      </c>
      <c r="B495" s="138"/>
      <c r="C495" s="220"/>
      <c r="D495" s="10" t="s">
        <v>364</v>
      </c>
      <c r="E495" s="138"/>
      <c r="F495" s="145"/>
      <c r="G495" s="35">
        <v>2000.0</v>
      </c>
      <c r="H495" s="226" t="str">
        <f t="shared" si="6"/>
        <v>@APPROVISIONNEMENT@@2000</v>
      </c>
      <c r="I495" s="193" t="str">
        <f t="shared" si="1"/>
        <v/>
      </c>
      <c r="J495" s="193" t="str">
        <f t="shared" si="2"/>
        <v/>
      </c>
      <c r="K495" s="126" t="str">
        <f t="shared" si="3"/>
        <v/>
      </c>
      <c r="L495" s="126" t="str">
        <f t="shared" si="4"/>
        <v/>
      </c>
      <c r="M495" s="195" t="str">
        <f>IF(AND($N495&lt;&gt;"",$O495&lt;&gt;0),MAXIFS(Investment!$L:$L,Investment!$D:$D,$N495),"")</f>
        <v/>
      </c>
      <c r="N495" s="30"/>
    </row>
    <row r="496">
      <c r="A496" s="7">
        <v>40906.0</v>
      </c>
      <c r="C496" s="30" t="s">
        <v>721</v>
      </c>
      <c r="D496" s="10" t="s">
        <v>369</v>
      </c>
      <c r="E496" s="36">
        <v>245.0</v>
      </c>
      <c r="F496" s="145">
        <v>11.815</v>
      </c>
      <c r="G496" s="35">
        <v>-2897.57</v>
      </c>
      <c r="H496" s="226" t="str">
        <f t="shared" si="6"/>
        <v>FRANCE TELECOM@BUY@245@-2897.57</v>
      </c>
      <c r="I496" s="193" t="str">
        <f t="shared" si="1"/>
        <v/>
      </c>
      <c r="J496" s="193" t="str">
        <f t="shared" si="2"/>
        <v>FRANCE TELECOM</v>
      </c>
      <c r="K496" s="126">
        <f t="shared" si="3"/>
        <v>0</v>
      </c>
      <c r="L496" s="126">
        <f t="shared" si="4"/>
        <v>1049.82</v>
      </c>
      <c r="M496" s="195" t="str">
        <f>IF(AND($N496&lt;&gt;"",$O496&lt;&gt;0),MAXIFS(Investment!$L:$L,Investment!$D:$D,$N496),"")</f>
        <v/>
      </c>
      <c r="N496" s="187"/>
      <c r="P496" s="35"/>
    </row>
    <row r="497">
      <c r="A497" s="7">
        <v>40828.0</v>
      </c>
      <c r="B497" s="236"/>
      <c r="C497" s="250" t="s">
        <v>721</v>
      </c>
      <c r="D497" s="236" t="s">
        <v>381</v>
      </c>
      <c r="E497" s="36">
        <v>-555.0</v>
      </c>
      <c r="F497" s="145">
        <f t="shared" ref="F497:F498" si="7">-G497/E497</f>
        <v>17.61367568</v>
      </c>
      <c r="G497" s="35">
        <v>9775.59</v>
      </c>
      <c r="H497" s="226" t="str">
        <f t="shared" si="6"/>
        <v>FRANCE TELECOM@SELL@-555@9775.59</v>
      </c>
      <c r="I497" s="193" t="str">
        <f t="shared" si="1"/>
        <v/>
      </c>
      <c r="J497" s="193" t="str">
        <f t="shared" si="2"/>
        <v>FRANCE TELECOM</v>
      </c>
      <c r="K497" s="126">
        <f t="shared" si="3"/>
        <v>0</v>
      </c>
      <c r="L497" s="126">
        <f t="shared" si="4"/>
        <v>1049.82</v>
      </c>
      <c r="M497" s="195" t="str">
        <f>IF(AND($N497&lt;&gt;"",$O497&lt;&gt;0),MAXIFS(Investment!$L:$L,Investment!$D:$D,$N497),"")</f>
        <v/>
      </c>
      <c r="N497" s="187"/>
      <c r="P497" s="35"/>
    </row>
    <row r="498">
      <c r="A498" s="7">
        <v>40668.0</v>
      </c>
      <c r="B498" s="236"/>
      <c r="C498" s="250" t="s">
        <v>721</v>
      </c>
      <c r="D498" s="236" t="s">
        <v>369</v>
      </c>
      <c r="E498" s="36">
        <v>555.0</v>
      </c>
      <c r="F498" s="145">
        <f t="shared" si="7"/>
        <v>15.58</v>
      </c>
      <c r="G498" s="35">
        <v>-8646.9</v>
      </c>
      <c r="H498" s="226" t="str">
        <f t="shared" si="6"/>
        <v>FRANCE TELECOM@BUY@555@-8646.9</v>
      </c>
      <c r="I498" s="193" t="str">
        <f t="shared" si="1"/>
        <v/>
      </c>
      <c r="J498" s="193" t="str">
        <f t="shared" si="2"/>
        <v>FRANCE TELECOM</v>
      </c>
      <c r="K498" s="126">
        <f t="shared" si="3"/>
        <v>0</v>
      </c>
      <c r="L498" s="126">
        <f t="shared" si="4"/>
        <v>1049.82</v>
      </c>
      <c r="M498" s="195" t="str">
        <f>IF(AND($N498&lt;&gt;"",$O498&lt;&gt;0),MAXIFS(Investment!$L:$L,Investment!$D:$D,$N498),"")</f>
        <v/>
      </c>
      <c r="N498" s="30"/>
      <c r="O498" s="35"/>
    </row>
    <row r="499">
      <c r="A499" s="7">
        <v>40639.0</v>
      </c>
      <c r="B499" s="285"/>
      <c r="C499" s="286"/>
      <c r="D499" s="287" t="s">
        <v>364</v>
      </c>
      <c r="E499" s="287"/>
      <c r="F499" s="145"/>
      <c r="G499" s="288">
        <f>10000-133.41</f>
        <v>9866.59</v>
      </c>
      <c r="H499" s="226" t="str">
        <f t="shared" si="6"/>
        <v>@APPROVISIONNEMENT@@9866.59</v>
      </c>
      <c r="I499" s="193" t="str">
        <f t="shared" si="1"/>
        <v/>
      </c>
      <c r="J499" s="193" t="str">
        <f t="shared" si="2"/>
        <v/>
      </c>
      <c r="K499" s="126" t="str">
        <f t="shared" si="3"/>
        <v/>
      </c>
      <c r="L499" s="126" t="str">
        <f t="shared" si="4"/>
        <v/>
      </c>
      <c r="M499" s="195" t="str">
        <f>IF(AND($N499&lt;&gt;"",$O499&lt;&gt;0),MAXIFS(Investment!$L:$L,Investment!$D:$D,$N499),"")</f>
        <v/>
      </c>
      <c r="N499" s="187"/>
      <c r="P499" s="35"/>
    </row>
  </sheetData>
  <autoFilter ref="$A$1:$P$499"/>
  <conditionalFormatting sqref="I2:I499">
    <cfRule type="cellIs" dxfId="7" priority="1" operator="greaterThan">
      <formula>0.01</formula>
    </cfRule>
  </conditionalFormatting>
  <conditionalFormatting sqref="I2:I499">
    <cfRule type="cellIs" dxfId="8" priority="2" operator="lessThan">
      <formula>-0.01</formula>
    </cfRule>
  </conditionalFormatting>
  <conditionalFormatting sqref="M1">
    <cfRule type="cellIs" dxfId="7" priority="3" operator="greaterThan">
      <formula>0</formula>
    </cfRule>
  </conditionalFormatting>
  <conditionalFormatting sqref="M1">
    <cfRule type="cellIs" dxfId="8" priority="4" operator="lessThan">
      <formula>0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14"/>
    <col customWidth="1" min="3" max="3" width="9.0"/>
    <col customWidth="1" min="4" max="4" width="7.14"/>
    <col customWidth="1" min="5" max="5" width="12.0"/>
    <col customWidth="1" min="6" max="7" width="10.57"/>
    <col customWidth="1" min="8" max="8" width="9.71"/>
    <col customWidth="1" min="9" max="18" width="11.57"/>
  </cols>
  <sheetData>
    <row r="1">
      <c r="A1" s="17" t="s">
        <v>27</v>
      </c>
      <c r="B1" s="17" t="s">
        <v>254</v>
      </c>
      <c r="C1" s="17" t="s">
        <v>85</v>
      </c>
      <c r="D1" s="17" t="s">
        <v>255</v>
      </c>
      <c r="E1" s="17" t="s">
        <v>707</v>
      </c>
      <c r="F1" s="17" t="s">
        <v>708</v>
      </c>
      <c r="G1" s="17" t="s">
        <v>50</v>
      </c>
      <c r="H1" s="17" t="s">
        <v>253</v>
      </c>
      <c r="I1" s="232" t="s">
        <v>374</v>
      </c>
      <c r="J1" s="233" t="s">
        <v>371</v>
      </c>
      <c r="K1" s="233" t="s">
        <v>379</v>
      </c>
      <c r="L1" s="233" t="s">
        <v>367</v>
      </c>
      <c r="M1" s="233" t="s">
        <v>385</v>
      </c>
      <c r="N1" s="234" t="s">
        <v>374</v>
      </c>
      <c r="O1" s="235" t="s">
        <v>371</v>
      </c>
      <c r="P1" s="235" t="s">
        <v>379</v>
      </c>
      <c r="Q1" s="235" t="s">
        <v>367</v>
      </c>
      <c r="R1" s="235" t="s">
        <v>385</v>
      </c>
    </row>
    <row r="2">
      <c r="A2" s="236">
        <f>NOW()-TIME(2,0,0)</f>
        <v>43471.64286</v>
      </c>
      <c r="B2" s="33">
        <f>Dashboard!$B$38</f>
        <v>-0.008160615524</v>
      </c>
      <c r="C2" s="33">
        <f>Dashboard!$B$40</f>
        <v>0.05140744038</v>
      </c>
      <c r="D2" s="33">
        <f>Dashboard!$B$36</f>
        <v>0.02385281439</v>
      </c>
      <c r="E2" s="33">
        <f>$F2/Dashboard!$B$32</f>
        <v>0.0006881682444</v>
      </c>
      <c r="F2" s="237">
        <f>$G2-$G3</f>
        <v>506.3713805</v>
      </c>
      <c r="G2" s="238">
        <f>Dashboard!$B$35</f>
        <v>6126.864</v>
      </c>
      <c r="H2" s="240">
        <f>($E2+$H3+$H4)/3</f>
        <v>0.001315775602</v>
      </c>
      <c r="I2" s="241">
        <f>Investment!$L$2</f>
        <v>4.000965228</v>
      </c>
      <c r="J2" s="242">
        <f>Investment!$L$3</f>
        <v>41.848</v>
      </c>
      <c r="K2" s="242">
        <f>Investment!$L$4</f>
        <v>168.53</v>
      </c>
      <c r="L2" s="242">
        <f>Investment!$L$5</f>
        <v>6.962</v>
      </c>
      <c r="M2" s="242">
        <f>Investment!$L$6</f>
        <v>107.49</v>
      </c>
      <c r="N2" s="243">
        <f t="shared" ref="N2:R2" si="1">SUM(1-I5/I4+1-I4/I3+1-I3/I2)/3</f>
        <v>-0.000654522548</v>
      </c>
      <c r="O2" s="240">
        <f t="shared" si="1"/>
        <v>-0.00003105740566</v>
      </c>
      <c r="P2" s="240">
        <f t="shared" si="1"/>
        <v>-0.001353476415</v>
      </c>
      <c r="Q2" s="240">
        <f t="shared" si="1"/>
        <v>0.002182032746</v>
      </c>
      <c r="R2" s="240">
        <f t="shared" si="1"/>
        <v>-0.002539197402</v>
      </c>
    </row>
    <row r="3">
      <c r="A3" s="236">
        <v>43469.97551916666</v>
      </c>
      <c r="B3" s="33">
        <v>-0.010140678492763924</v>
      </c>
      <c r="C3" s="33">
        <v>0.05145149131926005</v>
      </c>
      <c r="D3" s="33">
        <v>0.021900183665153044</v>
      </c>
      <c r="E3" s="33">
        <v>8.357106871301597E-4</v>
      </c>
      <c r="F3" s="237">
        <v>614.5136146547156</v>
      </c>
      <c r="G3" s="237">
        <v>5620.492619481287</v>
      </c>
      <c r="H3" s="240">
        <v>0.0020503460026542117</v>
      </c>
      <c r="I3" s="241">
        <v>3.9939558514365805</v>
      </c>
      <c r="J3" s="242">
        <v>41.848</v>
      </c>
      <c r="K3" s="242">
        <v>168.53</v>
      </c>
      <c r="L3" s="242">
        <v>6.962</v>
      </c>
      <c r="M3" s="242">
        <v>107.49</v>
      </c>
      <c r="N3" s="243">
        <v>0.0038492250366155556</v>
      </c>
      <c r="O3" s="240">
        <v>0.0021043156870496813</v>
      </c>
      <c r="P3" s="240">
        <v>0.0036107691974581377</v>
      </c>
      <c r="Q3" s="240">
        <v>0.0037727775039577325</v>
      </c>
      <c r="R3" s="240">
        <v>0.0012770091658753646</v>
      </c>
    </row>
    <row r="4">
      <c r="A4" s="236">
        <v>43468.975556226855</v>
      </c>
      <c r="B4" s="33">
        <v>-0.012545874129958846</v>
      </c>
      <c r="C4" s="33">
        <v>0.0514956178126728</v>
      </c>
      <c r="D4" s="33">
        <v>0.019522467326549817</v>
      </c>
      <c r="E4" s="33">
        <v>-0.002780077084925396</v>
      </c>
      <c r="F4" s="237">
        <v>-2042.5340020433068</v>
      </c>
      <c r="G4" s="237">
        <v>5005.979004826571</v>
      </c>
      <c r="H4" s="240">
        <v>0.00120881255897677</v>
      </c>
      <c r="I4" s="241">
        <v>4.047389205792014</v>
      </c>
      <c r="J4" s="242">
        <v>41.009</v>
      </c>
      <c r="K4" s="242">
        <v>169.79</v>
      </c>
      <c r="L4" s="242">
        <v>6.837</v>
      </c>
      <c r="M4" s="242">
        <v>108.1</v>
      </c>
      <c r="N4" s="243">
        <v>0.009130530135434781</v>
      </c>
      <c r="O4" s="240">
        <v>-0.0020525579695716</v>
      </c>
      <c r="P4" s="240">
        <v>0.006042915494579286</v>
      </c>
      <c r="Q4" s="240">
        <v>-0.0022120927440552793</v>
      </c>
      <c r="R4" s="240">
        <v>0.004320552400728521</v>
      </c>
    </row>
    <row r="5">
      <c r="A5" s="236">
        <v>43467.975532094904</v>
      </c>
      <c r="B5" s="33">
        <v>-0.004584270282478509</v>
      </c>
      <c r="C5" s="33">
        <v>0.0515398200597223</v>
      </c>
      <c r="D5" s="33">
        <v>0.027511597647383382</v>
      </c>
      <c r="E5" s="33">
        <v>0.01146820804725108</v>
      </c>
      <c r="F5" s="237">
        <v>8435.013006869878</v>
      </c>
      <c r="G5" s="237">
        <v>7048.513006869878</v>
      </c>
      <c r="H5" s="240">
        <v>0.004106514761855706</v>
      </c>
      <c r="I5" s="241">
        <v>4.008279020609477</v>
      </c>
      <c r="J5" s="242">
        <v>41.835</v>
      </c>
      <c r="K5" s="242">
        <v>169.21</v>
      </c>
      <c r="L5" s="242">
        <v>6.915</v>
      </c>
      <c r="M5" s="242">
        <v>108.31</v>
      </c>
      <c r="N5" s="243">
        <v>0.0025591316482538318</v>
      </c>
      <c r="O5" s="240">
        <v>0.010786370943581073</v>
      </c>
      <c r="P5" s="240">
        <v>0.004444401163696672</v>
      </c>
      <c r="Q5" s="240">
        <v>-1.529344052610219E-4</v>
      </c>
      <c r="R5" s="240">
        <v>0.004999341204296866</v>
      </c>
    </row>
    <row r="6">
      <c r="A6" s="236">
        <v>43465.0</v>
      </c>
      <c r="B6" s="33">
        <v>-0.0416</v>
      </c>
      <c r="C6" s="33">
        <v>0.0541</v>
      </c>
      <c r="D6" s="33">
        <v>-0.0057</v>
      </c>
      <c r="E6" s="33">
        <v>0.0094</v>
      </c>
      <c r="F6" s="237">
        <v>6809.82</v>
      </c>
      <c r="G6" s="237">
        <v>-1386.5</v>
      </c>
      <c r="H6" s="240">
        <v>0.0023</v>
      </c>
      <c r="I6" s="241">
        <v>3.9471</v>
      </c>
      <c r="J6" s="242">
        <v>41.567</v>
      </c>
      <c r="K6" s="242">
        <v>166.69</v>
      </c>
      <c r="L6" s="242">
        <v>6.882</v>
      </c>
      <c r="M6" s="242">
        <v>107.07</v>
      </c>
      <c r="N6" s="243">
        <v>-0.0024</v>
      </c>
      <c r="O6" s="240">
        <v>0.0131</v>
      </c>
      <c r="P6" s="240">
        <v>-6.0E-4</v>
      </c>
      <c r="Q6" s="240">
        <v>-0.0037</v>
      </c>
      <c r="R6" s="240">
        <v>0.004</v>
      </c>
    </row>
    <row r="7">
      <c r="A7" s="236">
        <v>43462.97555304398</v>
      </c>
      <c r="B7" s="33">
        <v>-0.05225137458198277</v>
      </c>
      <c r="C7" s="33">
        <v>0.03683163480615135</v>
      </c>
      <c r="D7" s="33">
        <v>-0.0337077392428632</v>
      </c>
      <c r="E7" s="33">
        <v>0.001084210170852612</v>
      </c>
      <c r="F7" s="237">
        <v>781.3461984310998</v>
      </c>
      <c r="G7" s="237">
        <v>-8196.318670859677</v>
      </c>
      <c r="H7" s="240">
        <v>-0.0014486637616839637</v>
      </c>
      <c r="I7" s="241">
        <v>3.9373689727463312</v>
      </c>
      <c r="J7" s="242">
        <v>41.252</v>
      </c>
      <c r="K7" s="242">
        <v>166.72</v>
      </c>
      <c r="L7" s="242">
        <v>6.882</v>
      </c>
      <c r="M7" s="242">
        <v>106.7</v>
      </c>
      <c r="N7" s="243">
        <v>-9.596103639139356E-4</v>
      </c>
      <c r="O7" s="240">
        <v>-8.514094856288216E-4</v>
      </c>
      <c r="P7" s="240">
        <v>3.3857902765858466E-4</v>
      </c>
      <c r="Q7" s="240">
        <v>-0.0058746840633197754</v>
      </c>
      <c r="R7" s="240">
        <v>0.003977286309085633</v>
      </c>
    </row>
    <row r="8">
      <c r="A8" s="236">
        <v>43461.97553350695</v>
      </c>
      <c r="B8" s="33">
        <v>-0.05551255257371618</v>
      </c>
      <c r="C8" s="33">
        <v>0.03686341361098841</v>
      </c>
      <c r="D8" s="33">
        <v>-0.03695291754923068</v>
      </c>
      <c r="E8" s="33">
        <v>0.004305798741420034</v>
      </c>
      <c r="F8" s="237">
        <v>3099.6498084677733</v>
      </c>
      <c r="G8" s="237">
        <v>-8977.664869290777</v>
      </c>
      <c r="H8" s="240">
        <v>-9.771881753028058E-4</v>
      </c>
      <c r="I8" s="241">
        <v>3.9769439817655825</v>
      </c>
      <c r="J8" s="242">
        <v>40.494</v>
      </c>
      <c r="K8" s="242">
        <v>166.95</v>
      </c>
      <c r="L8" s="242">
        <v>6.918</v>
      </c>
      <c r="M8" s="242">
        <v>106.69</v>
      </c>
      <c r="N8" s="243">
        <v>3.457328405811477E-4</v>
      </c>
      <c r="O8" s="240">
        <v>-0.007460357009072586</v>
      </c>
      <c r="P8" s="240">
        <v>6.78347815906403E-4</v>
      </c>
      <c r="Q8" s="240">
        <v>-0.006082270843556318</v>
      </c>
      <c r="R8" s="240">
        <v>0.004325444724794643</v>
      </c>
    </row>
    <row r="9">
      <c r="A9" s="236">
        <v>43458.975581516206</v>
      </c>
      <c r="B9" s="33">
        <v>-0.06844817818147665</v>
      </c>
      <c r="C9" s="33">
        <v>0.036959079909286825</v>
      </c>
      <c r="D9" s="33">
        <v>-0.04984037801419405</v>
      </c>
      <c r="E9" s="33">
        <v>-0.007241766630802091</v>
      </c>
      <c r="F9" s="237">
        <v>-5248.528845272958</v>
      </c>
      <c r="G9" s="237">
        <v>-12077.31467775855</v>
      </c>
      <c r="H9" s="240">
        <v>-0.004453013280601698</v>
      </c>
      <c r="I9" s="241">
        <v>3.975481611208407</v>
      </c>
      <c r="J9" s="242">
        <v>39.954</v>
      </c>
      <c r="K9" s="242">
        <v>166.99</v>
      </c>
      <c r="L9" s="242">
        <v>6.959</v>
      </c>
      <c r="M9" s="242">
        <v>105.78</v>
      </c>
      <c r="N9" s="243">
        <v>0.0026811518284475624</v>
      </c>
      <c r="O9" s="240">
        <v>-0.022634503314261572</v>
      </c>
      <c r="P9" s="240">
        <v>0.0016985317554150485</v>
      </c>
      <c r="Q9" s="240">
        <v>-0.006141287915555867</v>
      </c>
      <c r="R9" s="240">
        <v>0.0024635466783670865</v>
      </c>
    </row>
    <row r="10">
      <c r="A10" s="236">
        <v>43455.9755625463</v>
      </c>
      <c r="B10" s="33">
        <v>-0.046910412674121896</v>
      </c>
      <c r="C10" s="33">
        <v>0.03705524403741159</v>
      </c>
      <c r="D10" s="33">
        <v>-0.028254196721495102</v>
      </c>
      <c r="E10" s="33">
        <v>-0.0032816562464081152</v>
      </c>
      <c r="F10" s="237">
        <v>-2395.6307324855006</v>
      </c>
      <c r="G10" s="237">
        <v>-6828.7858324855915</v>
      </c>
      <c r="H10" s="240">
        <v>-0.002784349986726754</v>
      </c>
      <c r="I10" s="241">
        <v>3.948430099982459</v>
      </c>
      <c r="J10" s="242">
        <v>41.323</v>
      </c>
      <c r="K10" s="242">
        <v>166.55</v>
      </c>
      <c r="L10" s="242">
        <v>7.004</v>
      </c>
      <c r="M10" s="242">
        <v>105.43</v>
      </c>
      <c r="N10" s="243">
        <v>0.0014507264768340484</v>
      </c>
      <c r="O10" s="240">
        <v>-0.012485031859092999</v>
      </c>
      <c r="P10" s="240">
        <v>-1.829343673946937E-4</v>
      </c>
      <c r="Q10" s="240">
        <v>-0.005020418296651859</v>
      </c>
      <c r="R10" s="240">
        <v>0.0016145969264111197</v>
      </c>
    </row>
    <row r="11">
      <c r="A11" s="236">
        <v>43454.97555884259</v>
      </c>
      <c r="B11" s="33">
        <v>-0.03703057378825105</v>
      </c>
      <c r="C11" s="33">
        <v>0.03708741004786073</v>
      </c>
      <c r="D11" s="33">
        <v>-0.018358163203720933</v>
      </c>
      <c r="E11" s="33">
        <v>-0.006360038926212828</v>
      </c>
      <c r="F11" s="237">
        <v>-4675.418749566423</v>
      </c>
      <c r="G11" s="237">
        <v>-4433.155100000091</v>
      </c>
      <c r="H11" s="240">
        <v>-0.003332923224276247</v>
      </c>
      <c r="I11" s="241">
        <v>3.9726541166357388</v>
      </c>
      <c r="J11" s="242">
        <v>41.383</v>
      </c>
      <c r="K11" s="242">
        <v>166.61</v>
      </c>
      <c r="L11" s="242">
        <v>7.045</v>
      </c>
      <c r="M11" s="242">
        <v>105.31</v>
      </c>
      <c r="N11" s="243">
        <v>0.005065683438529274</v>
      </c>
      <c r="O11" s="240">
        <v>-0.017093006247511644</v>
      </c>
      <c r="P11" s="240">
        <v>1.5718489707938765E-4</v>
      </c>
      <c r="Q11" s="240">
        <v>-0.007851149540441785</v>
      </c>
      <c r="R11" s="240">
        <v>0.0019341435013866537</v>
      </c>
    </row>
    <row r="12">
      <c r="A12" s="236">
        <v>43453.975029305555</v>
      </c>
      <c r="B12" s="33">
        <v>-0.017684522387828652</v>
      </c>
      <c r="C12" s="33">
        <v>0.03711963195059562</v>
      </c>
      <c r="D12" s="33">
        <v>0.0010041109687123503</v>
      </c>
      <c r="E12" s="33">
        <v>-5.519938965814329E-4</v>
      </c>
      <c r="F12" s="237">
        <v>-411.12577378045535</v>
      </c>
      <c r="G12" s="237">
        <v>242.26364956633188</v>
      </c>
      <c r="H12" s="240">
        <v>-0.0017384704894958987</v>
      </c>
      <c r="I12" s="241">
        <v>3.9433598879453733</v>
      </c>
      <c r="J12" s="242">
        <v>42.715</v>
      </c>
      <c r="K12" s="242">
        <v>166.14</v>
      </c>
      <c r="L12" s="242">
        <v>7.088</v>
      </c>
      <c r="M12" s="242">
        <v>105.0</v>
      </c>
      <c r="N12" s="243">
        <v>0.002601651627538929</v>
      </c>
      <c r="O12" s="240">
        <v>-0.011432914443907075</v>
      </c>
      <c r="P12" s="240">
        <v>-0.0016838734172782328</v>
      </c>
      <c r="Q12" s="240">
        <v>-0.011501579172940554</v>
      </c>
      <c r="R12" s="240">
        <v>4.1168457408750453E-4</v>
      </c>
    </row>
    <row r="13">
      <c r="A13" s="236">
        <v>43452.97457569445</v>
      </c>
      <c r="B13" s="33">
        <v>-0.015994424112389268</v>
      </c>
      <c r="C13" s="33">
        <v>0.03715190989142223</v>
      </c>
      <c r="D13" s="33">
        <v>0.002710460229679158</v>
      </c>
      <c r="E13" s="33">
        <v>-0.0035291119476894314</v>
      </c>
      <c r="F13" s="237">
        <v>-2646.2075766524067</v>
      </c>
      <c r="G13" s="237">
        <v>653.3894233467872</v>
      </c>
      <c r="H13" s="240">
        <v>-0.0019002602571200154</v>
      </c>
      <c r="I13" s="241">
        <v>3.931082981715894</v>
      </c>
      <c r="J13" s="242">
        <v>42.878</v>
      </c>
      <c r="K13" s="242">
        <v>166.64</v>
      </c>
      <c r="L13" s="242">
        <v>7.11</v>
      </c>
      <c r="M13" s="242">
        <v>104.92</v>
      </c>
      <c r="N13" s="243">
        <v>0.004429185991335312</v>
      </c>
      <c r="O13" s="240">
        <v>-0.012604633229932919</v>
      </c>
      <c r="P13" s="240">
        <v>0.0017946429488403897</v>
      </c>
      <c r="Q13" s="240">
        <v>-0.011239518375143179</v>
      </c>
      <c r="R13" s="240">
        <v>0.0010159217172776753</v>
      </c>
    </row>
    <row r="14">
      <c r="A14" s="236">
        <v>43451.973419444446</v>
      </c>
      <c r="B14" s="33">
        <v>-0.0050215079674967135</v>
      </c>
      <c r="C14" s="33">
        <v>0.0371842440166541</v>
      </c>
      <c r="D14" s="33">
        <v>0.013699655647280215</v>
      </c>
      <c r="E14" s="33">
        <v>-0.006262533561564313</v>
      </c>
      <c r="F14" s="237">
        <v>-4734.547498141648</v>
      </c>
      <c r="G14" s="237">
        <v>3299.596999999194</v>
      </c>
      <c r="H14" s="240">
        <v>-0.0027631573147862474</v>
      </c>
      <c r="I14" s="241">
        <v>3.9125684846748032</v>
      </c>
      <c r="J14" s="242">
        <v>43.533</v>
      </c>
      <c r="K14" s="242">
        <v>166.53</v>
      </c>
      <c r="L14" s="242">
        <v>7.212</v>
      </c>
      <c r="M14" s="242">
        <v>104.7</v>
      </c>
      <c r="N14" s="243">
        <v>-0.00274465567614246</v>
      </c>
      <c r="O14" s="240">
        <v>-0.009534275627100556</v>
      </c>
      <c r="P14" s="240">
        <v>0.0015947195649363977</v>
      </c>
      <c r="Q14" s="240">
        <v>-0.007500321333167914</v>
      </c>
      <c r="R14" s="240">
        <v>-3.522395720181315E-4</v>
      </c>
    </row>
    <row r="15">
      <c r="A15" s="236">
        <v>43448.97341672453</v>
      </c>
      <c r="B15" s="33">
        <v>0.014674216614063897</v>
      </c>
      <c r="C15" s="33">
        <v>0.037281584969577286</v>
      </c>
      <c r="D15" s="33">
        <v>0.03344443013842236</v>
      </c>
      <c r="E15" s="33">
        <v>0.0023467760345307833</v>
      </c>
      <c r="F15" s="237">
        <v>1765.2667218117858</v>
      </c>
      <c r="G15" s="237">
        <v>8034.144498140842</v>
      </c>
      <c r="H15" s="240">
        <v>5.914884911156329E-4</v>
      </c>
      <c r="I15" s="241">
        <v>3.912639405204461</v>
      </c>
      <c r="J15" s="242">
        <v>44.195</v>
      </c>
      <c r="K15" s="242">
        <v>166.98</v>
      </c>
      <c r="L15" s="242">
        <v>7.335</v>
      </c>
      <c r="M15" s="242">
        <v>104.87</v>
      </c>
      <c r="N15" s="243">
        <v>-0.004130220791087121</v>
      </c>
      <c r="O15" s="240">
        <v>0.0058943624264397405</v>
      </c>
      <c r="P15" s="240">
        <v>0.0017713889012995383</v>
      </c>
      <c r="Q15" s="240">
        <v>-0.003849250142966998</v>
      </c>
      <c r="R15" s="240">
        <v>0.001333918254969202</v>
      </c>
    </row>
    <row r="16">
      <c r="A16" s="236">
        <v>43447.99310577546</v>
      </c>
      <c r="B16" s="33">
        <v>0.007332185789859323</v>
      </c>
      <c r="C16" s="33">
        <v>0.03731414530579526</v>
      </c>
      <c r="D16" s="33">
        <v>0.02611879251380238</v>
      </c>
      <c r="E16" s="33">
        <v>-0.008847251440605546</v>
      </c>
      <c r="F16" s="237">
        <v>-6713.952874382841</v>
      </c>
      <c r="G16" s="237">
        <v>6268.877776329056</v>
      </c>
      <c r="H16" s="240">
        <v>-0.002618426873910062</v>
      </c>
      <c r="I16" s="241">
        <v>3.8790066924973585</v>
      </c>
      <c r="J16" s="242">
        <v>44.519</v>
      </c>
      <c r="K16" s="242">
        <v>165.74</v>
      </c>
      <c r="L16" s="242">
        <v>7.352</v>
      </c>
      <c r="M16" s="242">
        <v>104.6</v>
      </c>
      <c r="N16" s="243">
        <v>-0.004261084159405737</v>
      </c>
      <c r="O16" s="240">
        <v>7.185034611218999E-4</v>
      </c>
      <c r="P16" s="240">
        <v>5.403478487607064E-4</v>
      </c>
      <c r="Q16" s="240">
        <v>-0.00577211623992735</v>
      </c>
      <c r="R16" s="240">
        <v>2.5232048506470167E-4</v>
      </c>
    </row>
    <row r="17">
      <c r="A17" s="236">
        <v>43446.97483011574</v>
      </c>
      <c r="B17" s="33">
        <v>0.03533621046143479</v>
      </c>
      <c r="C17" s="33">
        <v>0.03734676256567794</v>
      </c>
      <c r="D17" s="33">
        <v>0.05413923904440227</v>
      </c>
      <c r="E17" s="33">
        <v>0.007379151831654422</v>
      </c>
      <c r="F17" s="237">
        <v>5649.392901372048</v>
      </c>
      <c r="G17" s="237">
        <v>12982.830650711898</v>
      </c>
      <c r="H17" s="240">
        <v>0.0020461163127261776</v>
      </c>
      <c r="I17" s="241">
        <v>3.9442196023227165</v>
      </c>
      <c r="J17" s="242">
        <v>44.789</v>
      </c>
      <c r="K17" s="242">
        <v>165.73</v>
      </c>
      <c r="L17" s="242">
        <v>7.375</v>
      </c>
      <c r="M17" s="242">
        <v>104.81</v>
      </c>
      <c r="N17" s="243">
        <v>-0.003057319962997925</v>
      </c>
      <c r="O17" s="240">
        <v>0.00519567552767745</v>
      </c>
      <c r="P17" s="240">
        <v>-0.0012524921613608075</v>
      </c>
      <c r="Q17" s="240">
        <v>0.002980131320487652</v>
      </c>
      <c r="R17" s="240">
        <v>0.001495589359108947</v>
      </c>
    </row>
    <row r="18">
      <c r="A18" s="236">
        <v>43444.97340633102</v>
      </c>
      <c r="B18" s="33">
        <v>0.011798505375144859</v>
      </c>
      <c r="C18" s="33">
        <v>0.03741216845458456</v>
      </c>
      <c r="D18" s="33">
        <v>0.030634463955630672</v>
      </c>
      <c r="E18" s="33">
        <v>-0.0037012082581133606</v>
      </c>
      <c r="F18" s="237">
        <v>-2812.692457120167</v>
      </c>
      <c r="G18" s="237">
        <v>7333.43774933985</v>
      </c>
      <c r="H18" s="240">
        <v>-0.0010541454938508177</v>
      </c>
      <c r="I18" s="241">
        <v>3.960686015831135</v>
      </c>
      <c r="J18" s="242">
        <v>43.397</v>
      </c>
      <c r="K18" s="242">
        <v>166.09</v>
      </c>
      <c r="L18" s="242">
        <v>7.42</v>
      </c>
      <c r="M18" s="242">
        <v>104.45</v>
      </c>
      <c r="N18" s="243">
        <v>0.004513896982554481</v>
      </c>
      <c r="O18" s="240">
        <v>-0.01596697046870414</v>
      </c>
      <c r="P18" s="240">
        <v>0.0012349274736274118</v>
      </c>
      <c r="Q18" s="240">
        <v>-0.0026498543213278047</v>
      </c>
      <c r="R18" s="240">
        <v>8.61809887432304E-4</v>
      </c>
    </row>
    <row r="19">
      <c r="A19" s="236">
        <v>43441.97344800926</v>
      </c>
      <c r="B19" s="33">
        <v>0.023610178453431222</v>
      </c>
      <c r="C19" s="33">
        <v>0.03751070796763439</v>
      </c>
      <c r="D19" s="33">
        <v>0.04249574886512113</v>
      </c>
      <c r="E19" s="33">
        <v>-0.0019271621841113072</v>
      </c>
      <c r="F19" s="237">
        <v>-1469.946193961252</v>
      </c>
      <c r="G19" s="237">
        <v>10146.130206460017</v>
      </c>
      <c r="H19" s="240">
        <v>-1.8665739962507165E-4</v>
      </c>
      <c r="I19" s="241">
        <v>3.9281952247191008</v>
      </c>
      <c r="J19" s="242">
        <v>44.389</v>
      </c>
      <c r="K19" s="242">
        <v>165.47</v>
      </c>
      <c r="L19" s="242">
        <v>7.48</v>
      </c>
      <c r="M19" s="242">
        <v>104.52</v>
      </c>
      <c r="N19" s="243">
        <v>0.001949882117575778</v>
      </c>
      <c r="O19" s="240">
        <v>-0.014905614074324003</v>
      </c>
      <c r="P19" s="240">
        <v>3.330810318779391E-4</v>
      </c>
      <c r="Q19" s="240">
        <v>5.360874372143757E-4</v>
      </c>
      <c r="R19" s="240">
        <v>7.012514058878002E-4</v>
      </c>
    </row>
    <row r="20">
      <c r="A20" s="236">
        <v>43440.97339533565</v>
      </c>
      <c r="B20" s="33">
        <v>0.02979301437805489</v>
      </c>
      <c r="C20" s="33">
        <v>0.03754366992542668</v>
      </c>
      <c r="D20" s="33">
        <v>0.048695180194324485</v>
      </c>
      <c r="E20" s="33">
        <v>-0.002758145533248564</v>
      </c>
      <c r="F20" s="237">
        <v>-2091.4319944336894</v>
      </c>
      <c r="G20" s="237">
        <v>11616.076400421269</v>
      </c>
      <c r="H20" s="240">
        <v>7.254291761859791E-4</v>
      </c>
      <c r="I20" s="241">
        <v>3.9800492177887157</v>
      </c>
      <c r="J20" s="242">
        <v>44.062</v>
      </c>
      <c r="K20" s="242">
        <v>166.35</v>
      </c>
      <c r="L20" s="242">
        <v>7.307</v>
      </c>
      <c r="M20" s="242">
        <v>104.34</v>
      </c>
      <c r="N20" s="243">
        <v>0.012028818262706223</v>
      </c>
      <c r="O20" s="240">
        <v>-0.01920803880309152</v>
      </c>
      <c r="P20" s="240">
        <v>0.0036988723378347244</v>
      </c>
      <c r="Q20" s="240">
        <v>-0.005520984129598079</v>
      </c>
      <c r="R20" s="240">
        <v>0.0014055622875001432</v>
      </c>
    </row>
    <row r="21">
      <c r="A21" s="236">
        <v>43439.97343138889</v>
      </c>
      <c r="B21" s="33">
        <v>0.038594317315082255</v>
      </c>
      <c r="C21" s="33">
        <v>0.03757668986379557</v>
      </c>
      <c r="D21" s="33">
        <v>0.05751310772749632</v>
      </c>
      <c r="E21" s="33">
        <v>-0.005489546817800433</v>
      </c>
      <c r="F21" s="237">
        <v>-4124.768616428279</v>
      </c>
      <c r="G21" s="237">
        <v>13707.508394854958</v>
      </c>
      <c r="H21" s="240">
        <v>6.417608090501132E-4</v>
      </c>
      <c r="I21" s="241">
        <v>3.9062637653070214</v>
      </c>
      <c r="J21" s="242">
        <v>45.49</v>
      </c>
      <c r="K21" s="242">
        <v>165.47</v>
      </c>
      <c r="L21" s="242">
        <v>7.475</v>
      </c>
      <c r="M21" s="242">
        <v>104.18</v>
      </c>
      <c r="N21" s="243">
        <v>0.004912817121216125</v>
      </c>
      <c r="O21" s="240">
        <v>-0.0038598196996479186</v>
      </c>
      <c r="P21" s="240">
        <v>0.0014694915383262435</v>
      </c>
      <c r="Q21" s="240">
        <v>0.004521608133804977</v>
      </c>
      <c r="R21" s="240">
        <v>0.0037497224327374123</v>
      </c>
    </row>
    <row r="22">
      <c r="A22" s="236">
        <v>43438.97348383102</v>
      </c>
      <c r="B22" s="33">
        <v>0.05351820781477613</v>
      </c>
      <c r="C22" s="33">
        <v>0.03760976793585877</v>
      </c>
      <c r="D22" s="33">
        <v>0.07488541659174172</v>
      </c>
      <c r="E22" s="33">
        <v>0.00648527944191245</v>
      </c>
      <c r="F22" s="237">
        <v>4899.698445441783</v>
      </c>
      <c r="G22" s="237">
        <v>17832.277011283237</v>
      </c>
      <c r="H22" s="240">
        <v>0.004292672252756388</v>
      </c>
      <c r="I22" s="241">
        <v>3.9042665726375176</v>
      </c>
      <c r="J22" s="242">
        <v>46.385</v>
      </c>
      <c r="K22" s="242">
        <v>165.3</v>
      </c>
      <c r="L22" s="242">
        <v>7.464</v>
      </c>
      <c r="M22" s="242">
        <v>104.3</v>
      </c>
      <c r="N22" s="243">
        <v>0.007450137627990849</v>
      </c>
      <c r="O22" s="240">
        <v>0.005038672680660013</v>
      </c>
      <c r="P22" s="240">
        <v>0.003170656980622281</v>
      </c>
      <c r="Q22" s="240">
        <v>0.005703627334715559</v>
      </c>
      <c r="R22" s="240">
        <v>0.004457266465683785</v>
      </c>
    </row>
    <row r="23">
      <c r="A23" s="236">
        <v>43437.973497962965</v>
      </c>
      <c r="B23" s="33">
        <v>0.03297128637171939</v>
      </c>
      <c r="C23" s="33">
        <v>0.03764290429527363</v>
      </c>
      <c r="D23" s="33">
        <v>0.05435732088329025</v>
      </c>
      <c r="E23" s="33">
        <v>0.004040859480410558</v>
      </c>
      <c r="F23" s="237">
        <v>3033.11385251538</v>
      </c>
      <c r="G23" s="237">
        <v>12932.578565841453</v>
      </c>
      <c r="H23" s="240">
        <v>0.0031221569921943844</v>
      </c>
      <c r="I23" s="241">
        <v>3.8377521359992954</v>
      </c>
      <c r="J23" s="242">
        <v>46.642</v>
      </c>
      <c r="K23" s="242">
        <v>164.51</v>
      </c>
      <c r="L23" s="242">
        <v>7.427</v>
      </c>
      <c r="M23" s="242">
        <v>103.9</v>
      </c>
      <c r="N23" s="243">
        <v>0.001256507552496992</v>
      </c>
      <c r="O23" s="240">
        <v>0.008950488964347691</v>
      </c>
      <c r="P23" s="240">
        <v>-9.182123089727472E-5</v>
      </c>
      <c r="Q23" s="240">
        <v>0.002915455747703799</v>
      </c>
      <c r="R23" s="240">
        <v>0.003405638106295128</v>
      </c>
    </row>
    <row r="24">
      <c r="A24" s="236">
        <v>43434.97342417824</v>
      </c>
      <c r="B24" s="33">
        <v>0.02148381556287543</v>
      </c>
      <c r="C24" s="33">
        <v>0.04000248341561938</v>
      </c>
      <c r="D24" s="33">
        <v>0.04421691719201773</v>
      </c>
      <c r="E24" s="33">
        <v>0.006452583308599906</v>
      </c>
      <c r="F24" s="237">
        <v>4823.818517757929</v>
      </c>
      <c r="G24" s="237">
        <v>9899.464713326073</v>
      </c>
      <c r="H24" s="240">
        <v>0.003270580324162329</v>
      </c>
      <c r="I24" s="241">
        <v>3.848533050547897</v>
      </c>
      <c r="J24" s="242">
        <v>46.006</v>
      </c>
      <c r="K24" s="242">
        <v>164.74</v>
      </c>
      <c r="L24" s="242">
        <v>7.374</v>
      </c>
      <c r="M24" s="242">
        <v>103.01</v>
      </c>
      <c r="N24" s="243">
        <v>7.440591733297955E-4</v>
      </c>
      <c r="O24" s="240">
        <v>0.007253981162646787</v>
      </c>
      <c r="P24" s="240">
        <v>5.56524608568106E-4</v>
      </c>
      <c r="Q24" s="240">
        <v>0.0031175678604321946</v>
      </c>
      <c r="R24" s="240">
        <v>0.0010041078473307745</v>
      </c>
    </row>
    <row r="25">
      <c r="A25" s="236">
        <v>43433.97351476851</v>
      </c>
      <c r="B25" s="33">
        <v>-9.781724778423037E-4</v>
      </c>
      <c r="C25" s="33">
        <v>0.04095373330715423</v>
      </c>
      <c r="D25" s="33">
        <v>0.022690909916586864</v>
      </c>
      <c r="E25" s="33">
        <v>0.002556147445337355</v>
      </c>
      <c r="F25" s="237">
        <v>1898.0691673596739</v>
      </c>
      <c r="G25" s="237">
        <v>5075.646195568144</v>
      </c>
      <c r="H25" s="240">
        <v>0.0020550311720102655</v>
      </c>
      <c r="I25" s="241">
        <v>3.817270488920155</v>
      </c>
      <c r="J25" s="242">
        <v>45.683</v>
      </c>
      <c r="K25" s="242">
        <v>163.73</v>
      </c>
      <c r="L25" s="242">
        <v>7.337</v>
      </c>
      <c r="M25" s="242">
        <v>102.91</v>
      </c>
      <c r="N25" s="243">
        <v>-9.71304655625671E-4</v>
      </c>
      <c r="O25" s="240">
        <v>0.007779609131711607</v>
      </c>
      <c r="P25" s="240">
        <v>2.965153751361971E-4</v>
      </c>
      <c r="Q25" s="240">
        <v>0.003361520241729273</v>
      </c>
      <c r="R25" s="240">
        <v>-3.256521602766534E-4</v>
      </c>
    </row>
    <row r="26">
      <c r="A26" s="236">
        <v>43432.973458611115</v>
      </c>
      <c r="B26" s="33">
        <v>-0.0020302292072537967</v>
      </c>
      <c r="C26" s="33">
        <v>0.033548251862023044</v>
      </c>
      <c r="D26" s="33">
        <v>0.014218075590793978</v>
      </c>
      <c r="E26" s="33">
        <v>0.0016319694728743124</v>
      </c>
      <c r="F26" s="237">
        <v>1213.29762213293</v>
      </c>
      <c r="G26" s="237">
        <v>3177.5770282084704</v>
      </c>
      <c r="H26" s="240">
        <v>0.0013041264918768147</v>
      </c>
      <c r="I26" s="241">
        <v>3.8231664315937937</v>
      </c>
      <c r="J26" s="242">
        <v>45.4</v>
      </c>
      <c r="K26" s="242">
        <v>164.55</v>
      </c>
      <c r="L26" s="242">
        <v>7.362</v>
      </c>
      <c r="M26" s="242">
        <v>102.84</v>
      </c>
      <c r="N26" s="243">
        <v>-0.0014392840258214228</v>
      </c>
      <c r="O26" s="240">
        <v>0.007761339602358697</v>
      </c>
      <c r="P26" s="240">
        <v>0.0012119670668829425</v>
      </c>
      <c r="Q26" s="240">
        <v>1.832125335303747E-4</v>
      </c>
      <c r="R26" s="240">
        <v>-9.730586276115819E-4</v>
      </c>
    </row>
    <row r="27">
      <c r="A27" s="236">
        <v>43431.97346934028</v>
      </c>
      <c r="B27" s="33">
        <v>-0.007465739006978426</v>
      </c>
      <c r="C27" s="33">
        <v>0.0335779668769584</v>
      </c>
      <c r="D27" s="33">
        <v>0.008796957557940958</v>
      </c>
      <c r="E27" s="33">
        <v>0.0047875110802551215</v>
      </c>
      <c r="F27" s="237">
        <v>3553.495530645945</v>
      </c>
      <c r="G27" s="237">
        <v>1964.2794060755405</v>
      </c>
      <c r="H27" s="240">
        <v>0.0023048195788166266</v>
      </c>
      <c r="I27" s="241">
        <v>3.8397838986803645</v>
      </c>
      <c r="J27" s="242">
        <v>45.012</v>
      </c>
      <c r="K27" s="242">
        <v>164.46</v>
      </c>
      <c r="L27" s="242">
        <v>7.305</v>
      </c>
      <c r="M27" s="242">
        <v>102.7</v>
      </c>
      <c r="N27" s="243">
        <v>0.0032565695013679528</v>
      </c>
      <c r="O27" s="240">
        <v>0.008550235922069124</v>
      </c>
      <c r="P27" s="240">
        <v>0.003388094275849333</v>
      </c>
      <c r="Q27" s="240">
        <v>-0.0026694578345345756</v>
      </c>
      <c r="R27" s="240">
        <v>-6.511932065018655E-4</v>
      </c>
    </row>
    <row r="28">
      <c r="A28" s="236">
        <v>43430.98210945602</v>
      </c>
      <c r="B28" s="33">
        <v>-0.023400673057898055</v>
      </c>
      <c r="C28" s="33">
        <v>0.03360773457809046</v>
      </c>
      <c r="D28" s="33">
        <v>-0.007123559208789915</v>
      </c>
      <c r="E28" s="33">
        <v>-6.755832735947918E-4</v>
      </c>
      <c r="F28" s="237">
        <v>-499.0461245699553</v>
      </c>
      <c r="G28" s="237">
        <v>-1589.2161245704046</v>
      </c>
      <c r="H28" s="240">
        <v>-2.4409576060494638E-5</v>
      </c>
      <c r="I28" s="241">
        <v>3.828352287754562</v>
      </c>
      <c r="J28" s="242">
        <v>44.625</v>
      </c>
      <c r="K28" s="242">
        <v>163.58</v>
      </c>
      <c r="L28" s="242">
        <v>7.263</v>
      </c>
      <c r="M28" s="242">
        <v>103.01</v>
      </c>
      <c r="N28" s="243">
        <v>0.002763699686223401</v>
      </c>
      <c r="O28" s="240">
        <v>9.579256420057339E-4</v>
      </c>
      <c r="P28" s="240">
        <v>0.0019320996641161159</v>
      </c>
      <c r="Q28" s="240">
        <v>-0.009429993405446405</v>
      </c>
      <c r="R28" s="240">
        <v>3.8736753239480376E-4</v>
      </c>
    </row>
    <row r="29">
      <c r="A29" s="236">
        <v>43427.97507409722</v>
      </c>
      <c r="B29" s="33">
        <v>-0.021220167472055875</v>
      </c>
      <c r="C29" s="33">
        <v>0.03369735520363203</v>
      </c>
      <c r="D29" s="33">
        <v>-0.004899647986016775</v>
      </c>
      <c r="E29" s="33">
        <v>0.00835091343669615</v>
      </c>
      <c r="F29" s="237">
        <v>6169.489999999874</v>
      </c>
      <c r="G29" s="237">
        <v>-1090.1700000004494</v>
      </c>
      <c r="H29" s="240">
        <v>0.002151357232255254</v>
      </c>
      <c r="I29" s="241">
        <v>3.8396401164329186</v>
      </c>
      <c r="J29" s="242">
        <v>44.351</v>
      </c>
      <c r="K29" s="242">
        <v>163.95</v>
      </c>
      <c r="L29" s="242">
        <v>7.357</v>
      </c>
      <c r="M29" s="242">
        <v>103.14</v>
      </c>
      <c r="N29" s="243">
        <v>0.0017334088504109186</v>
      </c>
      <c r="O29" s="240">
        <v>0.001009137159602158</v>
      </c>
      <c r="P29" s="240">
        <v>0.0017842204378636002</v>
      </c>
      <c r="Q29" s="240">
        <v>-0.0028401202131037953</v>
      </c>
      <c r="R29" s="240">
        <v>0.001650362181671916</v>
      </c>
    </row>
    <row r="30">
      <c r="A30" s="236">
        <v>43426.973485243056</v>
      </c>
      <c r="B30" s="33">
        <v>-0.04899180333650157</v>
      </c>
      <c r="C30" s="33">
        <v>0.03372733505701604</v>
      </c>
      <c r="D30" s="33">
        <v>-0.032656763815332536</v>
      </c>
      <c r="E30" s="33">
        <v>-0.004541538476153775</v>
      </c>
      <c r="F30" s="237">
        <v>-3327.1799999996438</v>
      </c>
      <c r="G30" s="237">
        <v>-7259.660000000324</v>
      </c>
      <c r="H30" s="240">
        <v>-0.0015490026868419462</v>
      </c>
      <c r="I30" s="241">
        <v>3.80223802395866</v>
      </c>
      <c r="J30" s="242">
        <v>43.867</v>
      </c>
      <c r="K30" s="242">
        <v>162.79</v>
      </c>
      <c r="L30" s="242">
        <v>7.363</v>
      </c>
      <c r="M30" s="242">
        <v>102.9</v>
      </c>
      <c r="N30" s="243">
        <v>3.6003005858424125E-4</v>
      </c>
      <c r="O30" s="240">
        <v>-0.004980973163981013</v>
      </c>
      <c r="P30" s="240">
        <v>0.0015720953555933652</v>
      </c>
      <c r="Q30" s="240">
        <v>-0.004814754526415517</v>
      </c>
      <c r="R30" s="240">
        <v>0.0018815705238548845</v>
      </c>
    </row>
    <row r="31">
      <c r="A31" s="236">
        <v>43425.9745921875</v>
      </c>
      <c r="B31" s="33">
        <v>-0.034055156588442916</v>
      </c>
      <c r="C31" s="33">
        <v>0.03375736830283707</v>
      </c>
      <c r="D31" s="33">
        <v>-0.017705571172775963</v>
      </c>
      <c r="E31" s="33">
        <v>-2.858866279816986E-4</v>
      </c>
      <c r="F31" s="237">
        <v>-212.70000000006985</v>
      </c>
      <c r="G31" s="237">
        <v>-3932.48000000068</v>
      </c>
      <c r="H31" s="240">
        <v>-3.478390530884408E-4</v>
      </c>
      <c r="I31" s="241">
        <v>3.7965402177730945</v>
      </c>
      <c r="J31" s="242">
        <v>44.489</v>
      </c>
      <c r="K31" s="242">
        <v>162.63</v>
      </c>
      <c r="L31" s="242">
        <v>7.47</v>
      </c>
      <c r="M31" s="242">
        <v>102.89</v>
      </c>
      <c r="N31" s="243">
        <v>0.0012484382201523776</v>
      </c>
      <c r="O31" s="240">
        <v>-0.007067829462434672</v>
      </c>
      <c r="P31" s="240">
        <v>2.1579531700440432E-4</v>
      </c>
      <c r="Q31" s="240">
        <v>7.433480632365782E-4</v>
      </c>
      <c r="R31" s="240">
        <v>0.0018491766139099308</v>
      </c>
    </row>
    <row r="32">
      <c r="A32" s="236">
        <v>43424.97343309028</v>
      </c>
      <c r="B32" s="33">
        <v>-0.03312699621780172</v>
      </c>
      <c r="C32" s="33">
        <v>0.03378745508385565</v>
      </c>
      <c r="D32" s="33">
        <v>-0.01676283897912615</v>
      </c>
      <c r="E32" s="33">
        <v>9.259703177809274E-4</v>
      </c>
      <c r="F32" s="237">
        <v>689.1199999993896</v>
      </c>
      <c r="G32" s="237">
        <v>-3719.78000000061</v>
      </c>
      <c r="H32" s="240">
        <v>2.4236946871637616E-4</v>
      </c>
      <c r="I32" s="241">
        <v>3.819468870911009</v>
      </c>
      <c r="J32" s="242">
        <v>44.209</v>
      </c>
      <c r="K32" s="242">
        <v>163.07</v>
      </c>
      <c r="L32" s="242">
        <v>7.419</v>
      </c>
      <c r="M32" s="242">
        <v>102.63</v>
      </c>
      <c r="N32" s="243">
        <v>0.001606001396445511</v>
      </c>
      <c r="O32" s="240">
        <v>-0.009187737722740286</v>
      </c>
      <c r="P32" s="240">
        <v>-9.333916714019027E-4</v>
      </c>
      <c r="Q32" s="240">
        <v>-0.0032766857371557823</v>
      </c>
      <c r="R32" s="240">
        <v>7.136552860955714E-4</v>
      </c>
    </row>
    <row r="33">
      <c r="A33" s="236">
        <v>43423.0</v>
      </c>
      <c r="B33" s="33">
        <v>-0.0363</v>
      </c>
      <c r="C33" s="33">
        <v>0.0338</v>
      </c>
      <c r="D33" s="33">
        <v>-0.0199</v>
      </c>
      <c r="E33" s="33">
        <v>-0.0048</v>
      </c>
      <c r="F33" s="237">
        <v>-3537.75</v>
      </c>
      <c r="G33" s="237">
        <v>-4408.9</v>
      </c>
      <c r="H33" s="240">
        <v>-0.001</v>
      </c>
      <c r="I33" s="241">
        <v>3.798</v>
      </c>
      <c r="J33" s="242">
        <v>44.521</v>
      </c>
      <c r="K33" s="242">
        <v>162.02</v>
      </c>
      <c r="L33" s="242">
        <v>7.469</v>
      </c>
      <c r="M33" s="242">
        <v>102.32</v>
      </c>
      <c r="N33" s="243">
        <v>-4.0E-4</v>
      </c>
      <c r="O33" s="240">
        <v>-0.008</v>
      </c>
      <c r="P33" s="240">
        <v>-0.0069</v>
      </c>
      <c r="Q33" s="240">
        <v>-0.003</v>
      </c>
      <c r="R33" s="240">
        <v>0.0023</v>
      </c>
    </row>
    <row r="34">
      <c r="A34" s="236">
        <v>43420.0</v>
      </c>
      <c r="B34" s="33">
        <v>-0.0203261899733562</v>
      </c>
      <c r="C34" s="33">
        <v>0.03384778982507682</v>
      </c>
      <c r="D34" s="33">
        <v>-0.003932765880794137</v>
      </c>
      <c r="E34" s="33">
        <v>-0.003385272044686605</v>
      </c>
      <c r="F34" s="237">
        <v>-2529.0100000000093</v>
      </c>
      <c r="G34" s="238">
        <v>-871.1500000006054</v>
      </c>
      <c r="H34" s="240">
        <v>8.011380883682012E-4</v>
      </c>
      <c r="I34" s="241">
        <v>3.7821860220704155</v>
      </c>
      <c r="J34" s="242">
        <v>45.431</v>
      </c>
      <c r="K34" s="242">
        <v>162.52</v>
      </c>
      <c r="L34" s="242">
        <v>7.453</v>
      </c>
      <c r="M34" s="242">
        <v>102.32</v>
      </c>
      <c r="N34" s="243">
        <v>-4.4545042581134453E-4</v>
      </c>
      <c r="O34" s="240">
        <v>-0.006116696515969207</v>
      </c>
      <c r="P34" s="240">
        <v>-0.0057418367378612905</v>
      </c>
      <c r="Q34" s="240">
        <v>4.108689200246207E-4</v>
      </c>
      <c r="R34" s="240">
        <v>0.0012605863069337826</v>
      </c>
    </row>
    <row r="35">
      <c r="A35" s="236">
        <v>43419.0</v>
      </c>
      <c r="B35" s="33">
        <v>-0.008933020490282089</v>
      </c>
      <c r="C35" s="33">
        <v>0.033938697049316055</v>
      </c>
      <c r="D35" s="33">
        <v>0.007504432494202702</v>
      </c>
      <c r="E35" s="33">
        <v>-0.0026900896371648605</v>
      </c>
      <c r="F35" s="237">
        <v>-1987.2777264205638</v>
      </c>
      <c r="G35" s="237">
        <v>1657.859999999404</v>
      </c>
      <c r="H35" s="240">
        <v>0.0011034142651046035</v>
      </c>
      <c r="I35" s="241">
        <v>3.8009708737864076</v>
      </c>
      <c r="J35" s="242">
        <v>45.434</v>
      </c>
      <c r="K35" s="242">
        <v>163.52</v>
      </c>
      <c r="L35" s="242">
        <v>7.492</v>
      </c>
      <c r="M35" s="242">
        <v>102.41</v>
      </c>
      <c r="N35" s="243">
        <v>-0.004443318747862635</v>
      </c>
      <c r="O35" s="240">
        <v>-0.005806502752264464</v>
      </c>
      <c r="P35" s="240">
        <v>-0.004960994019923041</v>
      </c>
      <c r="Q35" s="240">
        <v>-0.00205463907055455</v>
      </c>
      <c r="R35" s="240">
        <v>2.456968683040017E-4</v>
      </c>
    </row>
    <row r="36">
      <c r="A36" s="236">
        <v>43418.0</v>
      </c>
      <c r="B36" s="33">
        <v>1.0E-4</v>
      </c>
      <c r="C36" s="33">
        <v>0.034</v>
      </c>
      <c r="D36" s="33">
        <v>0.0165</v>
      </c>
      <c r="E36" s="33">
        <v>-0.0021</v>
      </c>
      <c r="F36" s="237">
        <v>-1613.0170538490815</v>
      </c>
      <c r="G36" s="237">
        <v>3645.1377264199677</v>
      </c>
      <c r="H36" s="240">
        <v>0.0013</v>
      </c>
      <c r="I36" s="241">
        <v>3.802</v>
      </c>
      <c r="J36" s="242">
        <v>45.587</v>
      </c>
      <c r="K36" s="242">
        <v>165.38</v>
      </c>
      <c r="L36" s="242">
        <v>7.537</v>
      </c>
      <c r="M36" s="242">
        <v>101.6</v>
      </c>
      <c r="N36" s="243">
        <v>0.0023</v>
      </c>
      <c r="O36" s="240">
        <v>-0.0076</v>
      </c>
      <c r="P36" s="240">
        <v>0.0025</v>
      </c>
      <c r="Q36" s="240">
        <v>0.0038</v>
      </c>
      <c r="R36" s="240">
        <v>-0.0013</v>
      </c>
    </row>
    <row r="37">
      <c r="A37" s="236">
        <v>43417.0</v>
      </c>
      <c r="B37" s="33">
        <v>0.007334510198563619</v>
      </c>
      <c r="C37" s="33">
        <v>0.0339995736359516</v>
      </c>
      <c r="D37" s="33">
        <v>0.023801447403648385</v>
      </c>
      <c r="E37" s="33">
        <v>-0.00832393379841178</v>
      </c>
      <c r="F37" s="237">
        <v>-6269.1146087696925</v>
      </c>
      <c r="G37" s="237">
        <v>5258.154780269049</v>
      </c>
      <c r="H37" s="240">
        <v>4.76016146128025E-4</v>
      </c>
      <c r="I37" s="241">
        <v>3.7871681415929204</v>
      </c>
      <c r="J37" s="242">
        <v>46.267</v>
      </c>
      <c r="K37" s="242">
        <v>165.33</v>
      </c>
      <c r="L37" s="242">
        <v>7.443</v>
      </c>
      <c r="M37" s="242">
        <v>101.93</v>
      </c>
      <c r="N37" s="243">
        <v>0.0038940119799262263</v>
      </c>
      <c r="O37" s="240">
        <v>-0.0036183531550402583</v>
      </c>
      <c r="P37" s="240">
        <v>0.005756434486252478</v>
      </c>
      <c r="Q37" s="240">
        <v>4.0597273643694365E-5</v>
      </c>
      <c r="R37" s="240">
        <v>-0.0018668582328569272</v>
      </c>
    </row>
    <row r="38">
      <c r="A38" s="236">
        <v>43416.0</v>
      </c>
      <c r="B38" s="33">
        <v>0.03568255587073833</v>
      </c>
      <c r="C38" s="33">
        <v>0.03406066900636661</v>
      </c>
      <c r="D38" s="33">
        <v>0.052179083259480036</v>
      </c>
      <c r="E38" s="33">
        <v>0.008225273929328049</v>
      </c>
      <c r="F38" s="237">
        <v>6222.646452101801</v>
      </c>
      <c r="G38" s="237">
        <v>11527.269389038742</v>
      </c>
      <c r="H38" s="240">
        <v>0.005524316286350646</v>
      </c>
      <c r="I38" s="241">
        <v>3.851399536459262</v>
      </c>
      <c r="J38" s="242">
        <v>46.227</v>
      </c>
      <c r="K38" s="242">
        <v>165.96</v>
      </c>
      <c r="L38" s="242">
        <v>7.537</v>
      </c>
      <c r="M38" s="242">
        <v>102.33</v>
      </c>
      <c r="N38" s="243">
        <v>0.009796473670640368</v>
      </c>
      <c r="O38" s="240">
        <v>7.037275769613179E-5</v>
      </c>
      <c r="P38" s="240">
        <v>0.0074984743311854824</v>
      </c>
      <c r="Q38" s="240">
        <v>0.005504681015422563</v>
      </c>
      <c r="R38" s="240">
        <v>1.5667617103409803E-4</v>
      </c>
    </row>
    <row r="39">
      <c r="A39" s="236">
        <v>43413.0</v>
      </c>
      <c r="B39" s="33">
        <v>0.007470676538369711</v>
      </c>
      <c r="C39" s="33">
        <v>0.034152724868545974</v>
      </c>
      <c r="D39" s="33">
        <v>0.02401178913627017</v>
      </c>
      <c r="E39" s="33">
        <v>0.0037437825130053047</v>
      </c>
      <c r="F39" s="237">
        <v>2820.803721427445</v>
      </c>
      <c r="G39" s="237">
        <v>5304.622936936941</v>
      </c>
      <c r="H39" s="240">
        <v>0.004227665950445209</v>
      </c>
      <c r="I39" s="241">
        <v>3.7742589978828516</v>
      </c>
      <c r="J39" s="242">
        <v>46.625</v>
      </c>
      <c r="K39" s="242">
        <v>164.15</v>
      </c>
      <c r="L39" s="242">
        <v>7.45</v>
      </c>
      <c r="M39" s="242">
        <v>102.01</v>
      </c>
      <c r="N39" s="243">
        <v>0.004730672868489864</v>
      </c>
      <c r="O39" s="240">
        <v>0.007051754611581917</v>
      </c>
      <c r="P39" s="240">
        <v>0.002527672399098161</v>
      </c>
      <c r="Q39" s="240">
        <v>-2.3157786631948044E-4</v>
      </c>
      <c r="R39" s="240">
        <v>-0.002384855712408059</v>
      </c>
    </row>
    <row r="40">
      <c r="A40" s="236">
        <v>43412.0</v>
      </c>
      <c r="B40" s="33">
        <v>-0.0053128266845997515</v>
      </c>
      <c r="C40" s="33">
        <v>0.03418352083326063</v>
      </c>
      <c r="D40" s="33">
        <v>0.011243201253785742</v>
      </c>
      <c r="E40" s="33">
        <v>0.004603892416718586</v>
      </c>
      <c r="F40" s="237">
        <v>3462.635831032896</v>
      </c>
      <c r="G40" s="237">
        <v>2483.819215509496</v>
      </c>
      <c r="H40" s="240">
        <v>0.002844350649165035</v>
      </c>
      <c r="I40" s="241">
        <v>3.7417509898812145</v>
      </c>
      <c r="J40" s="242">
        <v>46.77</v>
      </c>
      <c r="K40" s="242">
        <v>162.48</v>
      </c>
      <c r="L40" s="242">
        <v>7.441</v>
      </c>
      <c r="M40" s="242">
        <v>102.5</v>
      </c>
      <c r="N40" s="243">
        <v>0.0013877532680206528</v>
      </c>
      <c r="O40" s="240">
        <v>0.009731617815514423</v>
      </c>
      <c r="P40" s="240">
        <v>-0.0015592581777192545</v>
      </c>
      <c r="Q40" s="240">
        <v>-0.0038088656046810407</v>
      </c>
      <c r="R40" s="240">
        <v>-0.0021463685312754035</v>
      </c>
    </row>
    <row r="41">
      <c r="A41" s="236">
        <v>43411.0</v>
      </c>
      <c r="B41" s="33">
        <v>-0.021001659895449852</v>
      </c>
      <c r="C41" s="33">
        <v>0.03421437238635924</v>
      </c>
      <c r="D41" s="33">
        <v>-0.004430689693582062</v>
      </c>
      <c r="E41" s="33">
        <v>0.004335322921611737</v>
      </c>
      <c r="F41" s="237">
        <v>3251.535832534395</v>
      </c>
      <c r="G41" s="237">
        <v>-978.8166155234001</v>
      </c>
      <c r="H41" s="240">
        <v>0.0016578065020624209</v>
      </c>
      <c r="I41" s="241">
        <v>3.7389554719622082</v>
      </c>
      <c r="J41" s="242">
        <v>46.212</v>
      </c>
      <c r="K41" s="242">
        <v>162.25</v>
      </c>
      <c r="L41" s="242">
        <v>7.413</v>
      </c>
      <c r="M41" s="242">
        <v>102.28</v>
      </c>
      <c r="N41" s="243">
        <v>0.0012053043603721392</v>
      </c>
      <c r="O41" s="240">
        <v>0.006987728014238341</v>
      </c>
      <c r="P41" s="240">
        <v>-0.0023986680950534023</v>
      </c>
      <c r="Q41" s="240">
        <v>-0.003955904734922726</v>
      </c>
      <c r="R41" s="240">
        <v>-0.003895808189301316</v>
      </c>
    </row>
    <row r="42">
      <c r="A42" s="236">
        <v>43410.0</v>
      </c>
      <c r="B42" s="33">
        <v>-0.03573495950711923</v>
      </c>
      <c r="C42" s="33">
        <v>0.03424527967848784</v>
      </c>
      <c r="D42" s="33">
        <v>-0.019149020045809827</v>
      </c>
      <c r="E42" s="33">
        <v>-4.061633908352187E-4</v>
      </c>
      <c r="F42" s="237">
        <v>-299.66378621332933</v>
      </c>
      <c r="G42" s="237">
        <v>-4230.352448057795</v>
      </c>
      <c r="H42" s="240">
        <v>-0.0016214351478550766</v>
      </c>
      <c r="I42" s="241">
        <v>3.7208895114690943</v>
      </c>
      <c r="J42" s="242">
        <v>45.642</v>
      </c>
      <c r="K42" s="242">
        <v>162.9</v>
      </c>
      <c r="L42" s="242">
        <v>7.455</v>
      </c>
      <c r="M42" s="242">
        <v>102.74</v>
      </c>
      <c r="N42" s="243">
        <v>-0.0032819194385404296</v>
      </c>
      <c r="O42" s="240">
        <v>8.798809429560647E-4</v>
      </c>
      <c r="P42" s="240">
        <v>-0.002246326049824369</v>
      </c>
      <c r="Q42" s="240">
        <v>-0.0010896831836004761</v>
      </c>
      <c r="R42" s="240">
        <v>-0.0021711691300620264</v>
      </c>
    </row>
    <row r="43">
      <c r="A43" s="236">
        <v>43409.0</v>
      </c>
      <c r="B43" s="33">
        <v>-0.034393504353355586</v>
      </c>
      <c r="C43" s="33">
        <v>0.03427624286083729</v>
      </c>
      <c r="D43" s="33">
        <v>-0.01779256856341932</v>
      </c>
      <c r="E43" s="33">
        <v>0.0010442599754107444</v>
      </c>
      <c r="F43" s="237">
        <v>793.431437883346</v>
      </c>
      <c r="G43" s="237">
        <v>-3930.688661844466</v>
      </c>
      <c r="H43" s="240">
        <v>-0.002867751809610407</v>
      </c>
      <c r="I43" s="241">
        <v>3.726157082748948</v>
      </c>
      <c r="J43" s="242">
        <v>45.417</v>
      </c>
      <c r="K43" s="242">
        <v>163.24</v>
      </c>
      <c r="L43" s="242">
        <v>7.526</v>
      </c>
      <c r="M43" s="242">
        <v>103.16</v>
      </c>
      <c r="N43" s="243">
        <v>-0.005235700788448927</v>
      </c>
      <c r="O43" s="240">
        <v>-0.0012759376002119775</v>
      </c>
      <c r="P43" s="240">
        <v>-0.003583123027370553</v>
      </c>
      <c r="Q43" s="240">
        <v>3.467196968457061E-4</v>
      </c>
      <c r="R43" s="240">
        <v>0.0015768209182767112</v>
      </c>
    </row>
    <row r="44">
      <c r="A44" s="236">
        <v>43406.0</v>
      </c>
      <c r="B44" s="33">
        <v>-0.04057432361885199</v>
      </c>
      <c r="C44" s="33">
        <v>0.034369469269343644</v>
      </c>
      <c r="D44" s="33">
        <v>-0.021384097802544393</v>
      </c>
      <c r="E44" s="33">
        <v>-0.005502402028140756</v>
      </c>
      <c r="F44" s="237">
        <v>-4119.571724047297</v>
      </c>
      <c r="G44" s="237">
        <v>-4724.120099727812</v>
      </c>
      <c r="H44" s="240">
        <v>-7.605072972830714E-4</v>
      </c>
      <c r="I44" s="241">
        <v>3.7254127151387424</v>
      </c>
      <c r="J44" s="242">
        <v>45.249</v>
      </c>
      <c r="K44" s="242">
        <v>163.42</v>
      </c>
      <c r="L44" s="242">
        <v>7.501</v>
      </c>
      <c r="M44" s="242">
        <v>103.48</v>
      </c>
      <c r="N44" s="243">
        <v>-0.00572619312847585</v>
      </c>
      <c r="O44" s="240">
        <v>0.00629414402157924</v>
      </c>
      <c r="P44" s="240">
        <v>-0.002791323631797571</v>
      </c>
      <c r="Q44" s="240">
        <v>-3.615105708855519E-4</v>
      </c>
      <c r="R44" s="240">
        <v>0.0017666849844426569</v>
      </c>
    </row>
    <row r="45">
      <c r="A45" s="236">
        <v>43405.0</v>
      </c>
      <c r="B45" s="33">
        <v>-0.021944175151915418</v>
      </c>
      <c r="C45" s="33">
        <v>0.034400657535468275</v>
      </c>
      <c r="D45" s="33">
        <v>-0.0027365353375893913</v>
      </c>
      <c r="E45" s="33">
        <v>-0.004145113376101208</v>
      </c>
      <c r="F45" s="237">
        <v>-3146.625361613621</v>
      </c>
      <c r="G45" s="237">
        <v>-604.5483756805147</v>
      </c>
      <c r="H45" s="240">
        <v>4.3650943767065505E-4</v>
      </c>
      <c r="I45" s="241">
        <v>3.7575624725997367</v>
      </c>
      <c r="J45" s="242">
        <v>45.52</v>
      </c>
      <c r="K45" s="242">
        <v>164.0</v>
      </c>
      <c r="L45" s="242">
        <v>7.479</v>
      </c>
      <c r="M45" s="242">
        <v>103.41</v>
      </c>
      <c r="N45" s="243">
        <v>-0.003000530994543338</v>
      </c>
      <c r="O45" s="240">
        <v>0.0069462371867580934</v>
      </c>
      <c r="P45" s="240">
        <v>-0.001001444962068924</v>
      </c>
      <c r="Q45" s="240">
        <v>-0.0040470196727719525</v>
      </c>
      <c r="R45" s="240">
        <v>5.372800573742639E-4</v>
      </c>
    </row>
    <row r="46">
      <c r="A46" s="236">
        <v>43404.0</v>
      </c>
      <c r="B46" s="33">
        <v>-0.008958552963432575</v>
      </c>
      <c r="C46" s="33">
        <v>0.036653403305982914</v>
      </c>
      <c r="D46" s="33">
        <v>0.011506909591888414</v>
      </c>
      <c r="E46" s="33">
        <v>0.00736599351239275</v>
      </c>
      <c r="F46" s="237">
        <v>5730.798936119121</v>
      </c>
      <c r="G46" s="237">
        <v>2542.0769859331062</v>
      </c>
      <c r="H46" s="240">
        <v>0.0016992252378969749</v>
      </c>
      <c r="I46" s="241">
        <v>3.7849063273241432</v>
      </c>
      <c r="J46" s="242">
        <v>45.59</v>
      </c>
      <c r="K46" s="242">
        <v>165.0</v>
      </c>
      <c r="L46" s="242">
        <v>7.518</v>
      </c>
      <c r="M46" s="242">
        <v>102.67</v>
      </c>
      <c r="N46" s="243">
        <v>-7.006355526884741E-4</v>
      </c>
      <c r="O46" s="240">
        <v>0.00858826878676359</v>
      </c>
      <c r="P46" s="240">
        <v>6.257822348793388E-4</v>
      </c>
      <c r="Q46" s="240">
        <v>-0.0038499906687955443</v>
      </c>
      <c r="R46" s="240">
        <v>-0.00465703572211081</v>
      </c>
    </row>
    <row r="47">
      <c r="A47" s="236">
        <v>43403.0</v>
      </c>
      <c r="B47" s="33">
        <v>-0.03491806593970047</v>
      </c>
      <c r="C47" s="33">
        <v>0.036686724581715624</v>
      </c>
      <c r="D47" s="33">
        <v>-0.014433998418420097</v>
      </c>
      <c r="E47" s="33">
        <v>-0.0019113518232795768</v>
      </c>
      <c r="F47" s="237">
        <v>-1475.1449621581214</v>
      </c>
      <c r="G47" s="237">
        <v>-3188.7219501860145</v>
      </c>
      <c r="H47" s="240">
        <v>-0.001641196363924542</v>
      </c>
      <c r="I47" s="241">
        <v>3.789719626168224</v>
      </c>
      <c r="J47" s="242">
        <v>44.386</v>
      </c>
      <c r="K47" s="242">
        <v>164.79</v>
      </c>
      <c r="L47" s="242">
        <v>7.509</v>
      </c>
      <c r="M47" s="242">
        <v>102.93</v>
      </c>
      <c r="N47" s="243">
        <v>3.261024031852762E-4</v>
      </c>
      <c r="O47" s="240">
        <v>-0.005370863190125548</v>
      </c>
      <c r="P47" s="240">
        <v>0.0013349824402238235</v>
      </c>
      <c r="Q47" s="240">
        <v>-0.004161371341155943</v>
      </c>
      <c r="R47" s="240">
        <v>-0.0015076532265147307</v>
      </c>
    </row>
    <row r="48">
      <c r="A48" s="236">
        <v>43402.0</v>
      </c>
      <c r="B48" s="33">
        <v>-0.028259346128010274</v>
      </c>
      <c r="C48" s="33">
        <v>0.03672010649671264</v>
      </c>
      <c r="D48" s="33">
        <v>-0.007756639782779692</v>
      </c>
      <c r="E48" s="33">
        <v>-3.5696597542224904E-4</v>
      </c>
      <c r="F48" s="237">
        <v>-269.92335786967965</v>
      </c>
      <c r="G48" s="237">
        <v>-1713.576988027893</v>
      </c>
      <c r="H48" s="240">
        <v>-7.261269848464379E-4</v>
      </c>
      <c r="I48" s="241">
        <v>3.7914358568539526</v>
      </c>
      <c r="J48" s="242">
        <v>44.565</v>
      </c>
      <c r="K48" s="242">
        <v>164.49</v>
      </c>
      <c r="L48" s="242">
        <v>7.57</v>
      </c>
      <c r="M48" s="242">
        <v>103.24</v>
      </c>
      <c r="N48" s="243">
        <v>9.421851650118033E-4</v>
      </c>
      <c r="O48" s="240">
        <v>-0.004033986297208747</v>
      </c>
      <c r="P48" s="240">
        <v>0.001073404279048747</v>
      </c>
      <c r="Q48" s="240">
        <v>-0.0018480907504706545</v>
      </c>
      <c r="R48" s="240">
        <v>3.989960547133853E-4</v>
      </c>
    </row>
    <row r="49">
      <c r="A49" s="236">
        <v>43399.0</v>
      </c>
      <c r="B49" s="33">
        <v>-0.027110875009051703</v>
      </c>
      <c r="C49" s="33">
        <v>0.03682061773712334</v>
      </c>
      <c r="D49" s="33">
        <v>-0.006534810667087017</v>
      </c>
      <c r="E49" s="33">
        <v>-0.0026552712930717997</v>
      </c>
      <c r="F49" s="237">
        <v>-2064.140472003639</v>
      </c>
      <c r="G49" s="237">
        <v>-1443.6536301582134</v>
      </c>
      <c r="H49" s="240">
        <v>0.0013564974856219627</v>
      </c>
      <c r="I49" s="241">
        <v>3.792866490714357</v>
      </c>
      <c r="J49" s="242">
        <v>44.414</v>
      </c>
      <c r="K49" s="242">
        <v>164.69</v>
      </c>
      <c r="L49" s="242">
        <v>7.605</v>
      </c>
      <c r="M49" s="242">
        <v>104.11</v>
      </c>
      <c r="N49" s="243">
        <v>0.002821046461788564</v>
      </c>
      <c r="O49" s="240">
        <v>-0.0029314448138040294</v>
      </c>
      <c r="P49" s="240">
        <v>0.004202939092267544</v>
      </c>
      <c r="Q49" s="240">
        <v>9.630052200392258E-4</v>
      </c>
      <c r="R49" s="240">
        <v>0.004436446332352184</v>
      </c>
    </row>
    <row r="50">
      <c r="A50" s="236">
        <v>43398.0</v>
      </c>
      <c r="B50" s="33">
        <v>-0.017786173221465865</v>
      </c>
      <c r="C50" s="33">
        <v>0.0368542438720431</v>
      </c>
      <c r="D50" s="33">
        <v>0.0028086820468385134</v>
      </c>
      <c r="E50" s="33">
        <v>8.338563139547352E-4</v>
      </c>
      <c r="F50" s="237">
        <v>-2944.88926021708</v>
      </c>
      <c r="G50" s="237">
        <v>620.4868418454255</v>
      </c>
      <c r="H50" s="240">
        <v>0.0016478523017883957</v>
      </c>
      <c r="I50" s="241">
        <v>3.786007072605874</v>
      </c>
      <c r="J50" s="242">
        <v>45.101</v>
      </c>
      <c r="K50" s="242">
        <v>164.13</v>
      </c>
      <c r="L50" s="242">
        <v>7.603</v>
      </c>
      <c r="M50" s="242">
        <v>103.39</v>
      </c>
      <c r="N50" s="243">
        <v>0.004909914408011436</v>
      </c>
      <c r="O50" s="240">
        <v>-0.004516484360536459</v>
      </c>
      <c r="P50" s="240">
        <v>0.004299357488384688</v>
      </c>
      <c r="Q50" s="240">
        <v>-8.390174769002575E-4</v>
      </c>
      <c r="R50" s="240">
        <v>0.005181258791552623</v>
      </c>
    </row>
    <row r="51">
      <c r="A51" s="236">
        <v>43397.0</v>
      </c>
      <c r="B51" s="33">
        <v>-0.020748978689523936</v>
      </c>
      <c r="C51" s="33">
        <v>0.03688793148070127</v>
      </c>
      <c r="D51" s="33">
        <v>0.016138952791177334</v>
      </c>
      <c r="E51" s="33">
        <v>0.005890907435982952</v>
      </c>
      <c r="F51" s="237">
        <v>4595.8721404225325</v>
      </c>
      <c r="G51" s="237">
        <v>3565.376102062505</v>
      </c>
      <c r="H51" s="240">
        <v>0.001105896732919505</v>
      </c>
      <c r="I51" s="241">
        <v>3.7807241409259547</v>
      </c>
      <c r="J51" s="242">
        <v>45.102</v>
      </c>
      <c r="K51" s="242">
        <v>163.96</v>
      </c>
      <c r="L51" s="242">
        <v>7.612</v>
      </c>
      <c r="M51" s="242">
        <v>103.11</v>
      </c>
      <c r="N51" s="243">
        <v>0.005202553515929316</v>
      </c>
      <c r="O51" s="240">
        <v>-0.0063833915912668475</v>
      </c>
      <c r="P51" s="240">
        <v>0.004653604829747822</v>
      </c>
      <c r="Q51" s="240">
        <v>-8.817669249048995E-4</v>
      </c>
      <c r="R51" s="240">
        <v>0.003230618937115848</v>
      </c>
    </row>
    <row r="52">
      <c r="A52" s="236">
        <v>43396.0</v>
      </c>
      <c r="B52" s="33">
        <v>-0.041586301360480415</v>
      </c>
      <c r="C52" s="33">
        <v>0.03692168073182726</v>
      </c>
      <c r="D52" s="33">
        <v>-0.004664620628653159</v>
      </c>
      <c r="E52" s="33">
        <v>-0.0017812068445724998</v>
      </c>
      <c r="F52" s="237">
        <v>-1382.7518005134789</v>
      </c>
      <c r="G52" s="237">
        <v>-1030.4960383600276</v>
      </c>
      <c r="H52" s="240">
        <v>-0.0016322514448149702</v>
      </c>
      <c r="I52" s="241">
        <v>3.760840364115943</v>
      </c>
      <c r="J52" s="242">
        <v>44.8</v>
      </c>
      <c r="K52" s="242">
        <v>162.62</v>
      </c>
      <c r="L52" s="242">
        <v>7.583</v>
      </c>
      <c r="M52" s="242">
        <v>102.73</v>
      </c>
      <c r="N52" s="243">
        <v>7.402099624551628E-4</v>
      </c>
      <c r="O52" s="240">
        <v>-0.008122219190876226</v>
      </c>
      <c r="P52" s="240">
        <v>0.0023210834152771844</v>
      </c>
      <c r="Q52" s="240">
        <v>-0.0013655280832216195</v>
      </c>
      <c r="R52" s="240">
        <v>0.0024918254286145545</v>
      </c>
    </row>
    <row r="53">
      <c r="A53" s="236">
        <v>43395.0</v>
      </c>
      <c r="B53" s="33">
        <v>-0.0353609786345647</v>
      </c>
      <c r="C53" s="33">
        <v>0.03695549179476849</v>
      </c>
      <c r="D53" s="33">
        <v>0.0015945131602037865</v>
      </c>
      <c r="E53" s="33">
        <v>-7.920103926519372E-4</v>
      </c>
      <c r="F53" s="237">
        <v>-619.0233774435162</v>
      </c>
      <c r="G53" s="237">
        <v>352.2557621534514</v>
      </c>
      <c r="H53" s="240">
        <v>-0.0012576622836984244</v>
      </c>
      <c r="I53" s="241">
        <v>3.7304711687559626</v>
      </c>
      <c r="J53" s="242">
        <v>45.706</v>
      </c>
      <c r="K53" s="242">
        <v>162.02</v>
      </c>
      <c r="L53" s="242">
        <v>7.622</v>
      </c>
      <c r="M53" s="242">
        <v>101.79</v>
      </c>
      <c r="N53" s="243">
        <v>-0.0020746371143898954</v>
      </c>
      <c r="O53" s="240">
        <v>-0.00199849896250807</v>
      </c>
      <c r="P53" s="240">
        <v>0.0015246857619181837</v>
      </c>
      <c r="Q53" s="240">
        <v>-0.001183432138051092</v>
      </c>
      <c r="R53" s="240">
        <v>2.917654497182805E-4</v>
      </c>
    </row>
    <row r="54">
      <c r="A54" s="236">
        <v>43392.0</v>
      </c>
      <c r="B54" s="33">
        <v>-0.03266072683591557</v>
      </c>
      <c r="C54" s="33">
        <v>0.03705729755728851</v>
      </c>
      <c r="D54" s="33">
        <v>0.004396570721372943</v>
      </c>
      <c r="E54" s="33">
        <v>-0.0023235370972204735</v>
      </c>
      <c r="F54" s="237">
        <v>-1817.182189463174</v>
      </c>
      <c r="G54" s="237">
        <v>971.2791395969676</v>
      </c>
      <c r="H54" s="240">
        <v>0.0010779642392344582</v>
      </c>
      <c r="I54" s="241">
        <v>3.7219906856933576</v>
      </c>
      <c r="J54" s="242">
        <v>45.963</v>
      </c>
      <c r="K54" s="242">
        <v>161.68</v>
      </c>
      <c r="L54" s="242">
        <v>7.632</v>
      </c>
      <c r="M54" s="242">
        <v>102.11</v>
      </c>
      <c r="N54" s="243">
        <v>1.9640728494378182E-4</v>
      </c>
      <c r="O54" s="240">
        <v>0.0016736822249428334</v>
      </c>
      <c r="P54" s="240">
        <v>0.002457954806859397</v>
      </c>
      <c r="Q54" s="240">
        <v>-7.896802849422698E-4</v>
      </c>
      <c r="R54" s="240">
        <v>0.002421287129641773</v>
      </c>
    </row>
    <row r="55">
      <c r="A55" s="236">
        <v>43391.0</v>
      </c>
      <c r="B55" s="33">
        <v>-0.024469170050574515</v>
      </c>
      <c r="C55" s="33">
        <v>0.03709135757342572</v>
      </c>
      <c r="D55" s="33">
        <v>0.012622187522851207</v>
      </c>
      <c r="E55" s="33">
        <v>-6.574393612228628E-4</v>
      </c>
      <c r="F55" s="237">
        <v>-518.1523293737537</v>
      </c>
      <c r="G55" s="237">
        <v>2788.4613290601415</v>
      </c>
      <c r="H55" s="240">
        <v>0.0029386828790397084</v>
      </c>
      <c r="I55" s="241">
        <v>3.752242206287343</v>
      </c>
      <c r="J55" s="242">
        <v>45.895</v>
      </c>
      <c r="K55" s="242">
        <v>161.49</v>
      </c>
      <c r="L55" s="242">
        <v>7.614</v>
      </c>
      <c r="M55" s="242">
        <v>101.96</v>
      </c>
      <c r="N55" s="243">
        <v>0.003437262754845164</v>
      </c>
      <c r="O55" s="240">
        <v>0.003943003146465858</v>
      </c>
      <c r="P55" s="240">
        <v>0.0019623859061296636</v>
      </c>
      <c r="Q55" s="240">
        <v>-0.0010965409747108283</v>
      </c>
      <c r="R55" s="240">
        <v>0.0022933303474619673</v>
      </c>
    </row>
    <row r="56">
      <c r="A56" s="236">
        <v>43390.0</v>
      </c>
      <c r="B56" s="33">
        <v>-0.022157835833870695</v>
      </c>
      <c r="C56" s="33">
        <v>0.03712548025748591</v>
      </c>
      <c r="D56" s="33">
        <v>0.014967644423615215</v>
      </c>
      <c r="E56" s="33">
        <v>0.0062148691761467105</v>
      </c>
      <c r="F56" s="237">
        <v>4878.536625793962</v>
      </c>
      <c r="G56" s="237">
        <v>3306.613658433895</v>
      </c>
      <c r="H56" s="240">
        <v>0.0027201346874632664</v>
      </c>
      <c r="I56" s="241">
        <v>3.7536284060058054</v>
      </c>
      <c r="J56" s="242">
        <v>45.98</v>
      </c>
      <c r="K56" s="242">
        <v>161.28</v>
      </c>
      <c r="L56" s="242">
        <v>7.649</v>
      </c>
      <c r="M56" s="242">
        <v>101.7</v>
      </c>
      <c r="N56" s="243">
        <v>0.0020838266582076845</v>
      </c>
      <c r="O56" s="240">
        <v>0.00469264989492398</v>
      </c>
      <c r="P56" s="240">
        <v>8.644982989105543E-4</v>
      </c>
      <c r="Q56" s="240">
        <v>0.0017011602900456335</v>
      </c>
      <c r="R56" s="240">
        <v>0.0029575775452066835</v>
      </c>
    </row>
    <row r="57">
      <c r="A57" s="236">
        <v>43389.0</v>
      </c>
      <c r="B57" s="33">
        <v>-0.044275097601100724</v>
      </c>
      <c r="C57" s="33">
        <v>0.03715966578258489</v>
      </c>
      <c r="D57" s="33">
        <v>-0.007115431818515837</v>
      </c>
      <c r="E57" s="33">
        <v>0.003258618822195278</v>
      </c>
      <c r="F57" s="237">
        <v>2547.4337884285533</v>
      </c>
      <c r="G57" s="237">
        <v>-1571.9229673600676</v>
      </c>
      <c r="H57" s="240">
        <v>0.0014416537027810898</v>
      </c>
      <c r="I57" s="241">
        <v>3.719521309271501</v>
      </c>
      <c r="J57" s="242">
        <v>45.732</v>
      </c>
      <c r="K57" s="242">
        <v>160.49</v>
      </c>
      <c r="L57" s="242">
        <v>7.65</v>
      </c>
      <c r="M57" s="242">
        <v>101.37</v>
      </c>
      <c r="N57" s="243">
        <v>5.011019872948793E-4</v>
      </c>
      <c r="O57" s="240">
        <v>0.0030344675036240165</v>
      </c>
      <c r="P57" s="240">
        <v>-8.718826292947549E-4</v>
      </c>
      <c r="Q57" s="240">
        <v>0.003847235686203635</v>
      </c>
      <c r="R57" s="240">
        <v>0.00223972157292592</v>
      </c>
    </row>
    <row r="58">
      <c r="A58" s="236">
        <v>43388.0</v>
      </c>
      <c r="B58" s="33">
        <v>-0.055840503716855366</v>
      </c>
      <c r="C58" s="33">
        <v>0.03719391432247667</v>
      </c>
      <c r="D58" s="33">
        <v>-0.018646589394378695</v>
      </c>
      <c r="E58" s="33">
        <v>-0.0013130839359521888</v>
      </c>
      <c r="F58" s="237">
        <v>-1014.0007360986083</v>
      </c>
      <c r="G58" s="237">
        <v>-4119.356755788621</v>
      </c>
      <c r="H58" s="240">
        <v>-0.001945307181730959</v>
      </c>
      <c r="I58" s="241">
        <v>3.7135894663760625</v>
      </c>
      <c r="J58" s="242">
        <v>45.353</v>
      </c>
      <c r="K58" s="242">
        <v>160.54</v>
      </c>
      <c r="L58" s="242">
        <v>7.639</v>
      </c>
      <c r="M58" s="242">
        <v>101.26</v>
      </c>
      <c r="N58" s="243">
        <v>7.074985185870538E-4</v>
      </c>
      <c r="O58" s="240">
        <v>-0.010070193366201777</v>
      </c>
      <c r="P58" s="240">
        <v>-1.672840974568842E-4</v>
      </c>
      <c r="Q58" s="240">
        <v>-2.0255114498242874E-4</v>
      </c>
      <c r="R58" s="240">
        <v>0.008863146245666495</v>
      </c>
    </row>
    <row r="59">
      <c r="A59" s="236">
        <v>43385.0</v>
      </c>
      <c r="B59" s="33">
        <v>-0.051353675815046435</v>
      </c>
      <c r="C59" s="33">
        <v>0.03729703977808428</v>
      </c>
      <c r="D59" s="33">
        <v>-0.014056636036962153</v>
      </c>
      <c r="E59" s="33">
        <v>0.0023794262221001807</v>
      </c>
      <c r="F59" s="237">
        <v>1798.9913722827805</v>
      </c>
      <c r="G59" s="237">
        <v>-3105.3560196900125</v>
      </c>
      <c r="H59" s="240">
        <v>-0.00479414956233713</v>
      </c>
      <c r="I59" s="241">
        <v>3.730039704617001</v>
      </c>
      <c r="J59" s="242">
        <v>45.335</v>
      </c>
      <c r="K59" s="242">
        <v>160.86</v>
      </c>
      <c r="L59" s="242">
        <v>7.61</v>
      </c>
      <c r="M59" s="242">
        <v>100.8</v>
      </c>
      <c r="N59" s="243">
        <v>0.0010390179055902449</v>
      </c>
      <c r="O59" s="240">
        <v>-0.017472440257863653</v>
      </c>
      <c r="P59" s="240">
        <v>-0.001080081462217571</v>
      </c>
      <c r="Q59" s="240">
        <v>-0.005785663589208956</v>
      </c>
      <c r="R59" s="240">
        <v>0.005590591298887208</v>
      </c>
    </row>
    <row r="60">
      <c r="A60" s="236">
        <v>43384.0</v>
      </c>
      <c r="B60" s="33">
        <v>-0.05953145281433947</v>
      </c>
      <c r="C60" s="33">
        <v>0.03733154212755522</v>
      </c>
      <c r="D60" s="33">
        <v>-0.02219991068678425</v>
      </c>
      <c r="E60" s="33">
        <v>-0.006902263831340869</v>
      </c>
      <c r="F60" s="237">
        <v>-4544.819662591174</v>
      </c>
      <c r="G60" s="237">
        <v>-4904.347391972793</v>
      </c>
      <c r="H60" s="240">
        <v>-0.003960984627871338</v>
      </c>
      <c r="I60" s="241">
        <v>3.7138578226527215</v>
      </c>
      <c r="J60" s="242">
        <v>45.316</v>
      </c>
      <c r="K60" s="242">
        <v>160.91</v>
      </c>
      <c r="L60" s="242">
        <v>7.562</v>
      </c>
      <c r="M60" s="242">
        <v>100.69</v>
      </c>
      <c r="N60" s="243">
        <v>0.0020094888213239015</v>
      </c>
      <c r="O60" s="240">
        <v>-0.016166842413849507</v>
      </c>
      <c r="P60" s="240">
        <v>-6.872991446397932E-4</v>
      </c>
      <c r="Q60" s="240">
        <v>-0.006811780385001594</v>
      </c>
      <c r="R60" s="240">
        <v>0.006505004883583336</v>
      </c>
    </row>
    <row r="61">
      <c r="A61" s="236">
        <v>43383.0</v>
      </c>
      <c r="B61" s="33">
        <v>-0.03456476534746203</v>
      </c>
      <c r="C61" s="33">
        <v>0.03293733506086406</v>
      </c>
      <c r="D61" s="33">
        <v>-0.0016274302865979667</v>
      </c>
      <c r="E61" s="33">
        <v>-0.009859611077770702</v>
      </c>
      <c r="F61" s="237">
        <v>-7971.564515127549</v>
      </c>
      <c r="G61" s="237">
        <v>-359.5277293816187</v>
      </c>
      <c r="H61" s="240">
        <v>-0.0021063356559445317</v>
      </c>
      <c r="I61" s="241">
        <v>3.705635429693161</v>
      </c>
      <c r="J61" s="242">
        <v>46.722</v>
      </c>
      <c r="K61" s="242">
        <v>160.62</v>
      </c>
      <c r="L61" s="242">
        <v>7.643</v>
      </c>
      <c r="M61" s="242">
        <v>98.58</v>
      </c>
      <c r="N61" s="243">
        <v>6.335306203942478E-4</v>
      </c>
      <c r="O61" s="240">
        <v>-0.006301504410156311</v>
      </c>
      <c r="P61" s="240">
        <v>-3.164125623247675E-4</v>
      </c>
      <c r="Q61" s="240">
        <v>-0.0022046241040846923</v>
      </c>
      <c r="R61" s="240">
        <v>-0.004160574015851792</v>
      </c>
    </row>
    <row r="62">
      <c r="A62" s="236">
        <v>43382.0</v>
      </c>
      <c r="B62" s="33">
        <v>0.0014886168916975616</v>
      </c>
      <c r="C62" s="33">
        <v>0.03296786085795476</v>
      </c>
      <c r="D62" s="33">
        <v>0.03445647774965232</v>
      </c>
      <c r="E62" s="33">
        <v>0.0048789210254975585</v>
      </c>
      <c r="F62" s="237">
        <v>3980.3294436278793</v>
      </c>
      <c r="G62" s="237">
        <v>7612.0367857459305</v>
      </c>
      <c r="H62" s="240">
        <v>-4.275556054768141E-4</v>
      </c>
      <c r="I62" s="241">
        <v>3.7183649636560934</v>
      </c>
      <c r="J62" s="242">
        <v>47.741</v>
      </c>
      <c r="K62" s="242">
        <v>161.38</v>
      </c>
      <c r="L62" s="242">
        <v>7.742</v>
      </c>
      <c r="M62" s="242">
        <v>99.1</v>
      </c>
      <c r="N62" s="243">
        <v>-5.100731164990879E-4</v>
      </c>
      <c r="O62" s="240">
        <v>-6.77142187654615E-4</v>
      </c>
      <c r="P62" s="240">
        <v>9.91272846893006E-4</v>
      </c>
      <c r="Q62" s="240">
        <v>3.3239384184609776E-5</v>
      </c>
      <c r="R62" s="240">
        <v>-0.002368876018099949</v>
      </c>
    </row>
    <row r="63">
      <c r="A63" s="236">
        <v>43381.0</v>
      </c>
      <c r="B63" s="33">
        <v>-0.016559236970407953</v>
      </c>
      <c r="C63" s="33">
        <v>0.03299844328917735</v>
      </c>
      <c r="D63" s="33">
        <v>0.016439206318769398</v>
      </c>
      <c r="E63" s="33">
        <v>-0.001338316915560452</v>
      </c>
      <c r="F63" s="237">
        <v>-1101.5992876103755</v>
      </c>
      <c r="G63" s="237">
        <v>3631.707342118051</v>
      </c>
      <c r="H63" s="240">
        <v>-0.005569300325532053</v>
      </c>
      <c r="I63" s="241">
        <v>3.6914080345993363</v>
      </c>
      <c r="J63" s="242">
        <v>47.534</v>
      </c>
      <c r="K63" s="242">
        <v>161.24</v>
      </c>
      <c r="L63" s="242">
        <v>7.717</v>
      </c>
      <c r="M63" s="242">
        <v>98.72</v>
      </c>
      <c r="N63" s="243">
        <v>-0.008848544504622247</v>
      </c>
      <c r="O63" s="240">
        <v>-0.005334738093153213</v>
      </c>
      <c r="P63" s="240">
        <v>-0.0010795446205258778</v>
      </c>
      <c r="Q63" s="240">
        <v>-7.417152237576922E-4</v>
      </c>
      <c r="R63" s="240">
        <v>-0.0025782419413356017</v>
      </c>
    </row>
    <row r="64">
      <c r="A64" s="236">
        <v>43378.0</v>
      </c>
      <c r="B64" s="33">
        <v>-0.011664850621585673</v>
      </c>
      <c r="C64" s="33">
        <v>0.03309053196812389</v>
      </c>
      <c r="D64" s="33">
        <v>0.02142568134653822</v>
      </c>
      <c r="E64" s="33">
        <v>-0.004823270926367549</v>
      </c>
      <c r="F64" s="237">
        <v>-3946.0769163490977</v>
      </c>
      <c r="G64" s="237">
        <v>4733.306629728427</v>
      </c>
      <c r="H64" s="240">
        <v>-0.005531891415837167</v>
      </c>
      <c r="I64" s="241">
        <v>3.6984730144115607</v>
      </c>
      <c r="J64" s="242">
        <v>47.602</v>
      </c>
      <c r="K64" s="242">
        <v>160.77</v>
      </c>
      <c r="L64" s="242">
        <v>7.693</v>
      </c>
      <c r="M64" s="242">
        <v>99.81</v>
      </c>
      <c r="N64" s="243">
        <v>-0.010544356171143132</v>
      </c>
      <c r="O64" s="240">
        <v>-0.0029944552381145164</v>
      </c>
      <c r="P64" s="240">
        <v>-0.0025663476062556256</v>
      </c>
      <c r="Q64" s="240">
        <v>-1.8369739281124767E-4</v>
      </c>
      <c r="R64" s="240">
        <v>6.346630839175009E-5</v>
      </c>
    </row>
    <row r="65">
      <c r="A65" s="236">
        <v>43377.0</v>
      </c>
      <c r="B65" s="33">
        <v>0.00616656352394139</v>
      </c>
      <c r="C65" s="33">
        <v>0.03312134251930464</v>
      </c>
      <c r="D65" s="33">
        <v>0.03928790604324603</v>
      </c>
      <c r="E65" s="33">
        <v>-0.010546313134668158</v>
      </c>
      <c r="F65" s="237">
        <v>-8528.881351170474</v>
      </c>
      <c r="G65" s="237">
        <v>8679.383546077524</v>
      </c>
      <c r="H65" s="240">
        <v>-0.002698049038791724</v>
      </c>
      <c r="I65" s="241">
        <v>3.723866706851133</v>
      </c>
      <c r="J65" s="242">
        <v>47.837</v>
      </c>
      <c r="K65" s="242">
        <v>160.9</v>
      </c>
      <c r="L65" s="242">
        <v>7.741</v>
      </c>
      <c r="M65" s="242">
        <v>99.8</v>
      </c>
      <c r="N65" s="243">
        <v>-0.006964369515950808</v>
      </c>
      <c r="O65" s="240">
        <v>-0.0017583494741398864</v>
      </c>
      <c r="P65" s="240">
        <v>-0.00163841584354892</v>
      </c>
      <c r="Q65" s="240">
        <v>0.006270113951600116</v>
      </c>
      <c r="R65" s="240">
        <v>0.005341222943349266</v>
      </c>
    </row>
    <row r="66">
      <c r="A66" s="236">
        <v>43376.0</v>
      </c>
      <c r="B66" s="33">
        <v>0.044742341672672485</v>
      </c>
      <c r="C66" s="33">
        <v>0.03315221049928535</v>
      </c>
      <c r="D66" s="33">
        <v>0.07789455217195784</v>
      </c>
      <c r="E66" s="33">
        <v>-0.0012260901864757953</v>
      </c>
      <c r="F66" s="237">
        <v>-471.8801288761424</v>
      </c>
      <c r="G66" s="237">
        <v>17208.264897248</v>
      </c>
      <c r="H66" s="240">
        <v>0.002248687318978704</v>
      </c>
      <c r="I66" s="241">
        <v>3.790023959921585</v>
      </c>
      <c r="J66" s="242">
        <v>48.298</v>
      </c>
      <c r="K66" s="242">
        <v>161.76</v>
      </c>
      <c r="L66" s="242">
        <v>7.734</v>
      </c>
      <c r="M66" s="242">
        <v>99.48</v>
      </c>
      <c r="N66" s="243">
        <v>-8.74378853712591E-4</v>
      </c>
      <c r="O66" s="240">
        <v>0.00449704334156494</v>
      </c>
      <c r="P66" s="240">
        <v>0.0010503146457541135</v>
      </c>
      <c r="Q66" s="240">
        <v>0.010005901208504456</v>
      </c>
      <c r="R66" s="240">
        <v>0.004476084655912242</v>
      </c>
    </row>
    <row r="67">
      <c r="A67" s="236">
        <v>43375.0</v>
      </c>
      <c r="B67" s="33">
        <v>0.046847418282195595</v>
      </c>
      <c r="C67" s="33">
        <v>0.033183136068780955</v>
      </c>
      <c r="D67" s="33">
        <v>0.08003055435097656</v>
      </c>
      <c r="E67" s="33">
        <v>0.003678256204768782</v>
      </c>
      <c r="F67" s="237">
        <v>3026.738314251834</v>
      </c>
      <c r="G67" s="237">
        <v>17680.14502612414</v>
      </c>
      <c r="H67" s="240">
        <v>0.004571483353867624</v>
      </c>
      <c r="I67" s="241">
        <v>3.816559181135207</v>
      </c>
      <c r="J67" s="242">
        <v>48.028</v>
      </c>
      <c r="K67" s="242">
        <v>162.01</v>
      </c>
      <c r="L67" s="242">
        <v>7.697</v>
      </c>
      <c r="M67" s="242">
        <v>99.79</v>
      </c>
      <c r="N67" s="243">
        <v>0.003045120490513864</v>
      </c>
      <c r="O67" s="240">
        <v>0.003717952864427443</v>
      </c>
      <c r="P67" s="240">
        <v>0.0035706491062238443</v>
      </c>
      <c r="Q67" s="240">
        <v>0.01316423170681269</v>
      </c>
      <c r="R67" s="240">
        <v>0.009488734225536274</v>
      </c>
    </row>
    <row r="68">
      <c r="A68" s="236">
        <v>43374.0</v>
      </c>
      <c r="B68" s="33">
        <v>0.03311566809559177</v>
      </c>
      <c r="C68" s="33">
        <v>0.03321411938910661</v>
      </c>
      <c r="D68" s="33">
        <v>0.06632978748469838</v>
      </c>
      <c r="E68" s="33">
        <v>0.004293895938643127</v>
      </c>
      <c r="F68" s="237">
        <v>2693.8506155570867</v>
      </c>
      <c r="G68" s="237">
        <v>14653.406711872307</v>
      </c>
      <c r="H68" s="240">
        <v>0.006426624750583442</v>
      </c>
      <c r="I68" s="241">
        <v>3.801773959640648</v>
      </c>
      <c r="J68" s="242">
        <v>48.087</v>
      </c>
      <c r="K68" s="242">
        <v>161.69</v>
      </c>
      <c r="L68" s="242">
        <v>7.596</v>
      </c>
      <c r="M68" s="242">
        <v>98.2</v>
      </c>
      <c r="N68" s="243">
        <v>0.007198156694027347</v>
      </c>
      <c r="O68" s="240">
        <v>0.005566244747526983</v>
      </c>
      <c r="P68" s="240">
        <v>0.006634905559555889</v>
      </c>
      <c r="Q68" s="240">
        <v>0.009826689400238342</v>
      </c>
      <c r="R68" s="240">
        <v>0.0016682136451220408</v>
      </c>
    </row>
    <row r="69">
      <c r="A69" s="236">
        <v>43371.0</v>
      </c>
      <c r="B69" s="33">
        <v>0.018394356286372173</v>
      </c>
      <c r="C69" s="33">
        <v>0.03574150644356897</v>
      </c>
      <c r="D69" s="33">
        <v>0.05413586272994114</v>
      </c>
      <c r="E69" s="33">
        <v>0.005742297918190961</v>
      </c>
      <c r="F69" s="237">
        <v>5065.345523592406</v>
      </c>
      <c r="G69" s="237">
        <v>11959.55609631522</v>
      </c>
      <c r="H69" s="240">
        <v>0.004499613860996164</v>
      </c>
      <c r="I69" s="241">
        <v>3.7998569890779934</v>
      </c>
      <c r="J69" s="242">
        <v>47.648</v>
      </c>
      <c r="K69" s="242">
        <v>161.25</v>
      </c>
      <c r="L69" s="242">
        <v>7.504</v>
      </c>
      <c r="M69" s="242">
        <v>98.14</v>
      </c>
      <c r="N69" s="243">
        <v>0.005081028908144177</v>
      </c>
      <c r="O69" s="240">
        <v>0.0032139517057033773</v>
      </c>
      <c r="P69" s="240">
        <v>0.005538533593969534</v>
      </c>
      <c r="Q69" s="240">
        <v>0.006693554221244513</v>
      </c>
      <c r="R69" s="240">
        <v>0.0019080822871611798</v>
      </c>
    </row>
    <row r="70">
      <c r="A70" s="236">
        <v>43370.0</v>
      </c>
      <c r="B70" s="33">
        <v>-0.004567822184887074</v>
      </c>
      <c r="C70" s="33">
        <v>0.03577500363798656</v>
      </c>
      <c r="D70" s="33">
        <v>0.031207181453099486</v>
      </c>
      <c r="E70" s="33">
        <v>0.00924368039491624</v>
      </c>
      <c r="F70" s="237">
        <v>8124.67098420517</v>
      </c>
      <c r="G70" s="237">
        <v>6894.2105727228145</v>
      </c>
      <c r="H70" s="240">
        <v>0.0021672744705410435</v>
      </c>
      <c r="I70" s="241">
        <v>3.781780443676214</v>
      </c>
      <c r="J70" s="242">
        <v>47.493</v>
      </c>
      <c r="K70" s="242">
        <v>160.28</v>
      </c>
      <c r="L70" s="242">
        <v>7.397</v>
      </c>
      <c r="M70" s="242">
        <v>96.97</v>
      </c>
      <c r="N70" s="243">
        <v>0.004544496113009148</v>
      </c>
      <c r="O70" s="240">
        <v>-7.735464637503853E-4</v>
      </c>
      <c r="P70" s="240">
        <v>0.002440331625139643</v>
      </c>
      <c r="Q70" s="240">
        <v>0.00407089350485675</v>
      </c>
      <c r="R70" s="240">
        <v>-0.0016900339564429971</v>
      </c>
    </row>
    <row r="71">
      <c r="A71" s="236">
        <v>43368.0</v>
      </c>
      <c r="B71" s="33">
        <v>-0.041411961691090474</v>
      </c>
      <c r="C71" s="33">
        <v>0.03584218674341001</v>
      </c>
      <c r="D71" s="33">
        <v>-0.0055697749476804614</v>
      </c>
      <c r="E71" s="33">
        <v>-0.0014871367301187094</v>
      </c>
      <c r="F71" s="237">
        <v>-1305.1714495637116</v>
      </c>
      <c r="G71" s="237">
        <v>-1230.4604114823546</v>
      </c>
      <c r="H71" s="240">
        <v>-6.998141069965508E-4</v>
      </c>
      <c r="I71" s="241">
        <v>3.7200123405481342</v>
      </c>
      <c r="J71" s="242">
        <v>47.288</v>
      </c>
      <c r="K71" s="242">
        <v>158.49</v>
      </c>
      <c r="L71" s="242">
        <v>7.374</v>
      </c>
      <c r="M71" s="242">
        <v>97.7</v>
      </c>
      <c r="N71" s="243">
        <v>-0.0013886607478618511</v>
      </c>
      <c r="O71" s="240">
        <v>-0.0010639197329567935</v>
      </c>
      <c r="P71" s="240">
        <v>-0.0012194668492565193</v>
      </c>
      <c r="Q71" s="240">
        <v>0.005543446909339574</v>
      </c>
      <c r="R71" s="240">
        <v>-9.933762858684487E-4</v>
      </c>
    </row>
    <row r="72">
      <c r="A72" s="236">
        <v>43367.0</v>
      </c>
      <c r="B72" s="33">
        <v>-0.03553768767271647</v>
      </c>
      <c r="C72" s="33">
        <v>0.0358758730091463</v>
      </c>
      <c r="D72" s="33">
        <v>3.3818533642982623E-4</v>
      </c>
      <c r="E72" s="33">
        <v>-0.0012547202531743992</v>
      </c>
      <c r="F72" s="237">
        <v>-1114.9297788109961</v>
      </c>
      <c r="G72" s="237">
        <v>74.71103808135689</v>
      </c>
      <c r="H72" s="240">
        <v>-0.0012651334450093966</v>
      </c>
      <c r="I72" s="241">
        <v>3.7417638211613937</v>
      </c>
      <c r="J72" s="242">
        <v>47.19</v>
      </c>
      <c r="K72" s="242">
        <v>158.58</v>
      </c>
      <c r="L72" s="242">
        <v>7.354</v>
      </c>
      <c r="M72" s="242">
        <v>97.57</v>
      </c>
      <c r="N72" s="243">
        <v>-9.74395669184854E-4</v>
      </c>
      <c r="O72" s="240">
        <v>-0.0017125610094500903</v>
      </c>
      <c r="P72" s="240">
        <v>-0.002769456668583118</v>
      </c>
      <c r="Q72" s="240">
        <v>0.003812011550100025</v>
      </c>
      <c r="R72" s="240">
        <v>-0.003273833050599362</v>
      </c>
    </row>
    <row r="73">
      <c r="A73" s="236">
        <v>43364.0</v>
      </c>
      <c r="B73" s="33">
        <v>-0.03059231092935696</v>
      </c>
      <c r="C73" s="33">
        <v>0.0359773128008781</v>
      </c>
      <c r="D73" s="33">
        <v>0.005385001871521137</v>
      </c>
      <c r="E73" s="33">
        <v>6.424146623034563E-4</v>
      </c>
      <c r="F73" s="237">
        <v>567.9695879530783</v>
      </c>
      <c r="G73" s="237">
        <v>1189.640816892353</v>
      </c>
      <c r="H73" s="240">
        <v>-0.001663030268509203</v>
      </c>
      <c r="I73" s="241">
        <v>3.729986371530433</v>
      </c>
      <c r="J73" s="242">
        <v>47.601</v>
      </c>
      <c r="K73" s="242">
        <v>159.1</v>
      </c>
      <c r="L73" s="242">
        <v>7.307</v>
      </c>
      <c r="M73" s="242">
        <v>97.46</v>
      </c>
      <c r="N73" s="243">
        <v>-0.004953075798238782</v>
      </c>
      <c r="O73" s="240">
        <v>0.0016684836156217742</v>
      </c>
      <c r="P73" s="240">
        <v>-0.0026353553246592685</v>
      </c>
      <c r="Q73" s="240">
        <v>0.004753636983089467</v>
      </c>
      <c r="R73" s="240">
        <v>-0.002296405870678697</v>
      </c>
    </row>
    <row r="74">
      <c r="A74" s="236">
        <v>43363.0</v>
      </c>
      <c r="B74" s="33">
        <v>-0.033197210394687766</v>
      </c>
      <c r="C74" s="33">
        <v>0.036011253662011</v>
      </c>
      <c r="D74" s="33">
        <v>0.002814043267323235</v>
      </c>
      <c r="E74" s="33">
        <v>-0.0031830947441572476</v>
      </c>
      <c r="F74" s="237">
        <v>-2833.323054303443</v>
      </c>
      <c r="G74" s="237">
        <v>621.6712289392748</v>
      </c>
      <c r="H74" s="240">
        <v>-0.0028576987482585754</v>
      </c>
      <c r="I74" s="241">
        <v>3.7354560075541303</v>
      </c>
      <c r="J74" s="242">
        <v>47.437</v>
      </c>
      <c r="K74" s="242">
        <v>159.07</v>
      </c>
      <c r="L74" s="242">
        <v>7.252</v>
      </c>
      <c r="M74" s="242">
        <v>97.99</v>
      </c>
      <c r="N74" s="243">
        <v>-0.007333818474268987</v>
      </c>
      <c r="O74" s="240">
        <v>0.0016179517853848562</v>
      </c>
      <c r="P74" s="240">
        <v>-0.0036543907998891623</v>
      </c>
      <c r="Q74" s="240">
        <v>0.0028925055565147684</v>
      </c>
      <c r="R74" s="240">
        <v>-0.0015706898270964054</v>
      </c>
    </row>
    <row r="75">
      <c r="A75" s="236">
        <v>43362.0</v>
      </c>
      <c r="B75" s="33">
        <v>-0.020405957737219402</v>
      </c>
      <c r="C75" s="33">
        <v>0.03604525862297607</v>
      </c>
      <c r="D75" s="33">
        <v>0.015639300885756668</v>
      </c>
      <c r="E75" s="33">
        <v>-0.0024484107236738173</v>
      </c>
      <c r="F75" s="237">
        <v>-2204.471981023731</v>
      </c>
      <c r="G75" s="237">
        <v>3454.9942832427178</v>
      </c>
      <c r="H75" s="240">
        <v>-0.002665080467518238</v>
      </c>
      <c r="I75" s="241">
        <v>3.7526553827177414</v>
      </c>
      <c r="J75" s="242">
        <v>47.431</v>
      </c>
      <c r="K75" s="242">
        <v>159.9</v>
      </c>
      <c r="L75" s="242">
        <v>7.27</v>
      </c>
      <c r="M75" s="242">
        <v>98.53</v>
      </c>
      <c r="N75" s="243">
        <v>-0.0063534103554248045</v>
      </c>
      <c r="O75" s="240">
        <v>-2.7421751707934483E-4</v>
      </c>
      <c r="P75" s="240">
        <v>-0.002433292263014438</v>
      </c>
      <c r="Q75" s="240">
        <v>0.0025143180173868482</v>
      </c>
      <c r="R75" s="240">
        <v>0.0012819763403190871</v>
      </c>
    </row>
    <row r="76">
      <c r="A76" s="236">
        <v>43361.0</v>
      </c>
      <c r="B76" s="33">
        <v>-0.01046131275362734</v>
      </c>
      <c r="C76" s="33">
        <v>0.03607932786553087</v>
      </c>
      <c r="D76" s="33">
        <v>0.02561801511190353</v>
      </c>
      <c r="E76" s="33">
        <v>-0.0029415907769446614</v>
      </c>
      <c r="F76" s="237">
        <v>-2629.0714275604687</v>
      </c>
      <c r="G76" s="237">
        <v>5659.466264266449</v>
      </c>
      <c r="H76" s="240">
        <v>-0.002141292206254976</v>
      </c>
      <c r="I76" s="241">
        <v>3.785635497382109</v>
      </c>
      <c r="J76" s="242">
        <v>47.363</v>
      </c>
      <c r="K76" s="242">
        <v>160.36</v>
      </c>
      <c r="L76" s="242">
        <v>7.203</v>
      </c>
      <c r="M76" s="242">
        <v>98.13</v>
      </c>
      <c r="N76" s="243">
        <v>-0.004558497608126026</v>
      </c>
      <c r="O76" s="240">
        <v>7.927631851465389E-4</v>
      </c>
      <c r="P76" s="240">
        <v>-0.0022814620987824754</v>
      </c>
      <c r="Q76" s="240">
        <v>-0.0015740683268454052</v>
      </c>
      <c r="R76" s="240">
        <v>-0.0014976375929220593</v>
      </c>
    </row>
    <row r="77">
      <c r="A77" s="236">
        <v>43360.0</v>
      </c>
      <c r="B77" s="33">
        <v>0.0014052502515507993</v>
      </c>
      <c r="C77" s="33">
        <v>0.036113461572120774</v>
      </c>
      <c r="D77" s="33">
        <v>0.03751871182367157</v>
      </c>
      <c r="E77" s="33">
        <v>-0.002605239901936235</v>
      </c>
      <c r="F77" s="237">
        <v>-2360.808687903973</v>
      </c>
      <c r="G77" s="237">
        <v>8288.537691826918</v>
      </c>
      <c r="H77" s="240">
        <v>-0.001926966732656391</v>
      </c>
      <c r="I77" s="241">
        <v>3.818224608998909</v>
      </c>
      <c r="J77" s="242">
        <v>47.207</v>
      </c>
      <c r="K77" s="242">
        <v>160.82</v>
      </c>
      <c r="L77" s="242">
        <v>7.189</v>
      </c>
      <c r="M77" s="242">
        <v>98.45</v>
      </c>
      <c r="N77" s="243">
        <v>-0.001981486144546185</v>
      </c>
      <c r="O77" s="240">
        <v>-8.342519688112245E-4</v>
      </c>
      <c r="P77" s="240">
        <v>-0.0019239836720323922</v>
      </c>
      <c r="Q77" s="240">
        <v>-0.0065054894302624495</v>
      </c>
      <c r="R77" s="240">
        <v>-0.0013913346902601302</v>
      </c>
    </row>
    <row r="78">
      <c r="A78" s="236">
        <v>43357.0</v>
      </c>
      <c r="B78" s="33">
        <v>0.01198884502656722</v>
      </c>
      <c r="C78" s="33">
        <v>0.036216251310940854</v>
      </c>
      <c r="D78" s="33">
        <v>0.04820509633750807</v>
      </c>
      <c r="E78" s="33">
        <v>-8.770459398840324E-4</v>
      </c>
      <c r="F78" s="237">
        <v>-799.7204511487707</v>
      </c>
      <c r="G78" s="237">
        <v>10649.34637973089</v>
      </c>
      <c r="H78" s="240">
        <v>-0.0015012199775936415</v>
      </c>
      <c r="I78" s="241">
        <v>3.8245748251808367</v>
      </c>
      <c r="J78" s="242">
        <v>47.469</v>
      </c>
      <c r="K78" s="242">
        <v>161.07</v>
      </c>
      <c r="L78" s="242">
        <v>7.215</v>
      </c>
      <c r="M78" s="242">
        <v>98.15</v>
      </c>
      <c r="N78" s="243">
        <v>-0.002315279622155201</v>
      </c>
      <c r="O78" s="240">
        <v>6.917486006687845E-4</v>
      </c>
      <c r="P78" s="240">
        <v>-0.0028895772512039417</v>
      </c>
      <c r="Q78" s="240">
        <v>-0.003299034416599289</v>
      </c>
      <c r="R78" s="240">
        <v>-0.0013955472641355622</v>
      </c>
    </row>
    <row r="79">
      <c r="A79" s="236">
        <v>43356.0</v>
      </c>
      <c r="B79" s="33">
        <v>0.01557444857331324</v>
      </c>
      <c r="C79" s="33">
        <v>0.03625064471199588</v>
      </c>
      <c r="D79" s="33">
        <v>0.05182509328530912</v>
      </c>
      <c r="E79" s="33">
        <v>-0.002298614356148906</v>
      </c>
      <c r="F79" s="237">
        <v>-2084.130249669259</v>
      </c>
      <c r="G79" s="237">
        <v>11449.066830879661</v>
      </c>
      <c r="H79" s="240">
        <v>-0.0014176798004764157</v>
      </c>
      <c r="I79" s="241">
        <v>3.8375926676829524</v>
      </c>
      <c r="J79" s="242">
        <v>47.249</v>
      </c>
      <c r="K79" s="242">
        <v>161.46</v>
      </c>
      <c r="L79" s="242">
        <v>7.237</v>
      </c>
      <c r="M79" s="242">
        <v>98.57</v>
      </c>
      <c r="N79" s="243">
        <v>-0.002110829067724085</v>
      </c>
      <c r="O79" s="240">
        <v>-1.6351263527540164E-4</v>
      </c>
      <c r="P79" s="240">
        <v>-0.002226091006546508</v>
      </c>
      <c r="Q79" s="240">
        <v>-0.0021453838805716163</v>
      </c>
      <c r="R79" s="240">
        <v>-4.0882358494498394E-4</v>
      </c>
    </row>
    <row r="80">
      <c r="A80" s="236">
        <v>43355.0</v>
      </c>
      <c r="B80" s="33">
        <v>0.024973967785983042</v>
      </c>
      <c r="C80" s="33">
        <v>0.036285103499744925</v>
      </c>
      <c r="D80" s="33">
        <v>0.06125907128572797</v>
      </c>
      <c r="E80" s="33">
        <v>-0.0013279996367479862</v>
      </c>
      <c r="F80" s="237">
        <v>-1214.552733057435</v>
      </c>
      <c r="G80" s="237">
        <v>13533.19708054892</v>
      </c>
      <c r="H80" s="240">
        <v>-0.0010772784751503514</v>
      </c>
      <c r="I80" s="241">
        <v>3.8409604981380028</v>
      </c>
      <c r="J80" s="242">
        <v>47.324</v>
      </c>
      <c r="K80" s="242">
        <v>161.75</v>
      </c>
      <c r="L80" s="242">
        <v>7.33</v>
      </c>
      <c r="M80" s="242">
        <v>98.86</v>
      </c>
      <c r="N80" s="243">
        <v>-0.002044287201104389</v>
      </c>
      <c r="O80" s="240">
        <v>-3.3248857093023015E-4</v>
      </c>
      <c r="P80" s="240">
        <v>-0.002406682862231113</v>
      </c>
      <c r="Q80" s="240">
        <v>0.002870457984997632</v>
      </c>
      <c r="R80" s="240">
        <v>-3.0630374641049674E-4</v>
      </c>
    </row>
    <row r="81">
      <c r="A81" s="236">
        <v>43354.0</v>
      </c>
      <c r="B81" s="33">
        <v>0.03043721102643443</v>
      </c>
      <c r="C81" s="33">
        <v>0.036319627860829366</v>
      </c>
      <c r="D81" s="33">
        <v>0.0667568388872638</v>
      </c>
      <c r="E81" s="33">
        <v>-6.264254085323545E-4</v>
      </c>
      <c r="F81" s="237">
        <v>-486.7353784344177</v>
      </c>
      <c r="G81" s="237">
        <v>14747.749813606355</v>
      </c>
      <c r="H81" s="240">
        <v>-4.548472744121761E-4</v>
      </c>
      <c r="I81" s="241">
        <v>3.8511947898185004</v>
      </c>
      <c r="J81" s="242">
        <v>47.37</v>
      </c>
      <c r="K81" s="242">
        <v>162.47</v>
      </c>
      <c r="L81" s="242">
        <v>7.286</v>
      </c>
      <c r="M81" s="242">
        <v>98.56</v>
      </c>
      <c r="N81" s="243">
        <v>-0.0025228116041463946</v>
      </c>
      <c r="O81" s="240">
        <v>0.0019758553882055496</v>
      </c>
      <c r="P81" s="240">
        <v>-0.001352570338509329</v>
      </c>
      <c r="Q81" s="240">
        <v>0.002704326701859975</v>
      </c>
      <c r="R81" s="240">
        <v>-5.430331164418822E-4</v>
      </c>
    </row>
    <row r="82">
      <c r="A82" s="236">
        <v>43353.0</v>
      </c>
      <c r="B82" s="33">
        <v>0.03303789259607759</v>
      </c>
      <c r="C82" s="33">
        <v>0.03592219191506436</v>
      </c>
      <c r="D82" s="33">
        <v>0.06896008451114194</v>
      </c>
      <c r="E82" s="33">
        <v>-0.0012774103801707138</v>
      </c>
      <c r="F82" s="237">
        <v>-1206.2412974921335</v>
      </c>
      <c r="G82" s="237">
        <v>15234.485192040773</v>
      </c>
      <c r="H82" s="240">
        <v>3.7194742293020564E-4</v>
      </c>
      <c r="I82" s="241">
        <v>3.861941102918985</v>
      </c>
      <c r="J82" s="242">
        <v>47.272</v>
      </c>
      <c r="K82" s="242">
        <v>162.54</v>
      </c>
      <c r="L82" s="242">
        <v>7.283</v>
      </c>
      <c r="M82" s="242">
        <v>98.69</v>
      </c>
      <c r="N82" s="243">
        <v>4.4709936771810305E-4</v>
      </c>
      <c r="O82" s="240">
        <v>6.349996922527431E-4</v>
      </c>
      <c r="P82" s="240">
        <v>-7.18547656824812E-4</v>
      </c>
      <c r="Q82" s="240">
        <v>9.988838332180745E-4</v>
      </c>
      <c r="R82" s="240">
        <v>4.0311436789441935E-4</v>
      </c>
    </row>
    <row r="83">
      <c r="A83" s="236">
        <v>43350.0</v>
      </c>
      <c r="B83" s="33">
        <v>0.038395108920118846</v>
      </c>
      <c r="C83" s="33">
        <v>0.03602512083172643</v>
      </c>
      <c r="D83" s="33">
        <v>0.07442022975184528</v>
      </c>
      <c r="E83" s="33">
        <v>5.392939654665401E-4</v>
      </c>
      <c r="F83" s="237">
        <v>476.18706924316393</v>
      </c>
      <c r="G83" s="237">
        <v>16440.726489532906</v>
      </c>
      <c r="H83" s="240">
        <v>-0.0015430610989365992</v>
      </c>
      <c r="I83" s="241">
        <v>3.8645593589921985</v>
      </c>
      <c r="J83" s="242">
        <v>47.371</v>
      </c>
      <c r="K83" s="242">
        <v>162.92</v>
      </c>
      <c r="L83" s="242">
        <v>7.267</v>
      </c>
      <c r="M83" s="242">
        <v>98.95</v>
      </c>
      <c r="N83" s="243">
        <v>-0.001500387853209939</v>
      </c>
      <c r="O83" s="240">
        <v>-0.002008653317306005</v>
      </c>
      <c r="P83" s="240">
        <v>-0.0012284658836024809</v>
      </c>
      <c r="Q83" s="240">
        <v>-0.003130559690106116</v>
      </c>
      <c r="R83" s="240">
        <v>9.769328337798644E-4</v>
      </c>
    </row>
    <row r="84">
      <c r="A84" s="236">
        <v>43349.0</v>
      </c>
      <c r="B84" s="33">
        <v>0.036205170197774986</v>
      </c>
      <c r="C84" s="33">
        <v>0.036059561673821766</v>
      </c>
      <c r="D84" s="33">
        <v>0.07226473187159675</v>
      </c>
      <c r="E84" s="33">
        <v>0.0018539586834947904</v>
      </c>
      <c r="F84" s="237">
        <v>1666.7362568207645</v>
      </c>
      <c r="G84" s="237">
        <v>15964.539420289742</v>
      </c>
      <c r="H84" s="240">
        <v>-0.0023460881212178657</v>
      </c>
      <c r="I84" s="241">
        <v>3.8804043880404384</v>
      </c>
      <c r="J84" s="242">
        <v>47.089</v>
      </c>
      <c r="K84" s="242">
        <v>163.13</v>
      </c>
      <c r="L84" s="242">
        <v>7.227</v>
      </c>
      <c r="M84" s="242">
        <v>98.72</v>
      </c>
      <c r="N84" s="243">
        <v>-0.0019402320861638585</v>
      </c>
      <c r="O84" s="240">
        <v>-0.0037621591552957634</v>
      </c>
      <c r="P84" s="240">
        <v>-8.533683575751017E-5</v>
      </c>
      <c r="Q84" s="240">
        <v>-0.005328891649075462</v>
      </c>
      <c r="R84" s="240">
        <v>-5.073766539657187E-4</v>
      </c>
    </row>
    <row r="85">
      <c r="A85" s="236">
        <v>43348.0</v>
      </c>
      <c r="B85" s="33">
        <v>0.028626051877722686</v>
      </c>
      <c r="C85" s="33">
        <v>0.03609406843140437</v>
      </c>
      <c r="D85" s="33">
        <v>0.06472012030912705</v>
      </c>
      <c r="E85" s="33">
        <v>-0.007022435945771128</v>
      </c>
      <c r="F85" s="237">
        <v>-5703.491552132289</v>
      </c>
      <c r="G85" s="237">
        <v>14297.803163468978</v>
      </c>
      <c r="H85" s="240">
        <v>-0.0035397683229719304</v>
      </c>
      <c r="I85" s="241">
        <v>3.8566588404404123</v>
      </c>
      <c r="J85" s="242">
        <v>47.181</v>
      </c>
      <c r="K85" s="242">
        <v>162.89</v>
      </c>
      <c r="L85" s="242">
        <v>7.261</v>
      </c>
      <c r="M85" s="242">
        <v>98.57</v>
      </c>
      <c r="N85" s="243">
        <v>-0.005656642762203494</v>
      </c>
      <c r="O85" s="240">
        <v>-0.0022779442536842907</v>
      </c>
      <c r="P85" s="240">
        <v>-0.0013316011587967136</v>
      </c>
      <c r="Q85" s="240">
        <v>-0.003896882420991732</v>
      </c>
      <c r="R85" s="240">
        <v>-0.001418431295892771</v>
      </c>
    </row>
    <row r="86">
      <c r="A86" s="236">
        <v>43347.0</v>
      </c>
      <c r="B86" s="33">
        <v>0.05440877802374997</v>
      </c>
      <c r="C86" s="33">
        <v>0.036128641293886564</v>
      </c>
      <c r="D86" s="33">
        <v>0.09053741931763654</v>
      </c>
      <c r="E86" s="33">
        <v>-0.0018697871013772587</v>
      </c>
      <c r="F86" s="237">
        <v>-1734.5222354209945</v>
      </c>
      <c r="G86" s="237">
        <v>20001.294715601267</v>
      </c>
      <c r="H86" s="240">
        <v>2.8210194948416847E-4</v>
      </c>
      <c r="I86" s="241">
        <v>3.8818058967528573</v>
      </c>
      <c r="J86" s="242">
        <v>47.654</v>
      </c>
      <c r="K86" s="242">
        <v>163.52</v>
      </c>
      <c r="L86" s="242">
        <v>7.335</v>
      </c>
      <c r="M86" s="242">
        <v>98.66</v>
      </c>
      <c r="N86" s="243">
        <v>-0.0014166979399778956</v>
      </c>
      <c r="O86" s="240">
        <v>0.00142869333538261</v>
      </c>
      <c r="P86" s="240">
        <v>0.0017512612733921278</v>
      </c>
      <c r="Q86" s="240">
        <v>0.0016329420577894476</v>
      </c>
      <c r="R86" s="240">
        <v>3.675520822888541E-4</v>
      </c>
    </row>
    <row r="87">
      <c r="A87" s="236">
        <v>43346.0</v>
      </c>
      <c r="B87" s="33">
        <v>0.06222558894368782</v>
      </c>
      <c r="C87" s="33">
        <v>0.036163280451407064</v>
      </c>
      <c r="D87" s="33">
        <v>0.09838886939509489</v>
      </c>
      <c r="E87" s="33">
        <v>-0.0017270819217674056</v>
      </c>
      <c r="F87" s="237">
        <v>-3732.4005460908265</v>
      </c>
      <c r="G87" s="237">
        <v>21735.81695102226</v>
      </c>
      <c r="H87" s="240">
        <v>0.0026575210040682244</v>
      </c>
      <c r="I87" s="241">
        <v>3.902843807915353</v>
      </c>
      <c r="J87" s="242">
        <v>47.621</v>
      </c>
      <c r="K87" s="242">
        <v>163.17</v>
      </c>
      <c r="L87" s="242">
        <v>7.343</v>
      </c>
      <c r="M87" s="242">
        <v>98.87</v>
      </c>
      <c r="N87" s="243">
        <v>0.003298020434548891</v>
      </c>
      <c r="O87" s="240">
        <v>0.0017177082163735886</v>
      </c>
      <c r="P87" s="240">
        <v>0.003210011126715299</v>
      </c>
      <c r="Q87" s="240">
        <v>0.00300119963628509</v>
      </c>
      <c r="R87" s="240">
        <v>0.001449121040713634</v>
      </c>
    </row>
    <row r="88">
      <c r="A88" s="236">
        <v>43343.0</v>
      </c>
      <c r="B88" s="33">
        <v>0.07577851635817813</v>
      </c>
      <c r="C88" s="33">
        <v>0.03950535499092612</v>
      </c>
      <c r="D88" s="33">
        <v>0.11528387134910426</v>
      </c>
      <c r="E88" s="33">
        <v>0.00444317487159717</v>
      </c>
      <c r="F88" s="237">
        <v>4441.626174806483</v>
      </c>
      <c r="G88" s="237">
        <v>25468.217497113088</v>
      </c>
      <c r="H88" s="240">
        <v>0.003347417517973571</v>
      </c>
      <c r="I88" s="241">
        <v>3.922474656864138</v>
      </c>
      <c r="J88" s="242">
        <v>47.502</v>
      </c>
      <c r="K88" s="242">
        <v>163.54</v>
      </c>
      <c r="L88" s="242">
        <v>7.346</v>
      </c>
      <c r="M88" s="242">
        <v>98.99</v>
      </c>
      <c r="N88" s="243">
        <v>0.00365245543709225</v>
      </c>
      <c r="O88" s="240">
        <v>0.0031854853602057234</v>
      </c>
      <c r="P88" s="240">
        <v>0.003883360774605271</v>
      </c>
      <c r="Q88" s="240">
        <v>0.003549641555759986</v>
      </c>
      <c r="R88" s="240">
        <v>9.055686316621347E-4</v>
      </c>
    </row>
    <row r="89">
      <c r="A89" s="236">
        <v>43342.0</v>
      </c>
      <c r="B89" s="33">
        <v>0.05563512684442858</v>
      </c>
      <c r="C89" s="33">
        <v>0.039543377469261946</v>
      </c>
      <c r="D89" s="33">
        <v>0.09517850431369053</v>
      </c>
      <c r="E89" s="33">
        <v>0.005256470062374909</v>
      </c>
      <c r="F89" s="237">
        <v>5222.66244556693</v>
      </c>
      <c r="G89" s="237">
        <v>21026.591322306605</v>
      </c>
      <c r="H89" s="240">
        <v>-2.6698428787743446E-4</v>
      </c>
      <c r="I89" s="241">
        <v>3.898157631963522</v>
      </c>
      <c r="J89" s="242">
        <v>47.45</v>
      </c>
      <c r="K89" s="242">
        <v>162.66</v>
      </c>
      <c r="L89" s="242">
        <v>7.299</v>
      </c>
      <c r="M89" s="242">
        <v>98.55</v>
      </c>
      <c r="N89" s="243">
        <v>-0.0018599614525109203</v>
      </c>
      <c r="O89" s="240">
        <v>0.0019704109690368656</v>
      </c>
      <c r="P89" s="240">
        <v>3.574674281957198E-4</v>
      </c>
      <c r="Q89" s="240">
        <v>-6.010167133437457E-4</v>
      </c>
      <c r="R89" s="240">
        <v>-0.0019604493274668253</v>
      </c>
    </row>
    <row r="90">
      <c r="A90" s="236">
        <v>43341.0</v>
      </c>
      <c r="B90" s="33">
        <v>0.03195624252050753</v>
      </c>
      <c r="C90" s="33">
        <v>0.039581473208635025</v>
      </c>
      <c r="D90" s="33">
        <v>0.07153771572914255</v>
      </c>
      <c r="E90" s="33">
        <v>3.4260761994863337E-4</v>
      </c>
      <c r="F90" s="237">
        <v>267.33199133426024</v>
      </c>
      <c r="G90" s="237">
        <v>15803.928876739676</v>
      </c>
      <c r="H90" s="240">
        <v>-0.0027659568608511113</v>
      </c>
      <c r="I90" s="241">
        <v>3.8641480170673295</v>
      </c>
      <c r="J90" s="242">
        <v>47.376</v>
      </c>
      <c r="K90" s="242">
        <v>161.6</v>
      </c>
      <c r="L90" s="242">
        <v>7.277</v>
      </c>
      <c r="M90" s="242">
        <v>98.44</v>
      </c>
      <c r="N90" s="243">
        <v>-0.006109496804738009</v>
      </c>
      <c r="O90" s="240">
        <v>0.002425782291413029</v>
      </c>
      <c r="P90" s="240">
        <v>-0.0038457719471255794</v>
      </c>
      <c r="Q90" s="240">
        <v>-0.0035659685482174095</v>
      </c>
      <c r="R90" s="240">
        <v>-0.003072280213216668</v>
      </c>
    </row>
    <row r="91">
      <c r="A91" s="236">
        <v>43340.0</v>
      </c>
      <c r="B91" s="33">
        <v>0.030707974215042216</v>
      </c>
      <c r="C91" s="33">
        <v>0.03961964242098665</v>
      </c>
      <c r="D91" s="33">
        <v>0.07032761663602886</v>
      </c>
      <c r="E91" s="33">
        <v>-0.006400030545955846</v>
      </c>
      <c r="F91" s="237">
        <v>-8243.414976511569</v>
      </c>
      <c r="G91" s="237">
        <v>15536.596885405415</v>
      </c>
      <c r="H91" s="240">
        <v>-0.0035893332828539765</v>
      </c>
      <c r="I91" s="241">
        <v>3.879475462766613</v>
      </c>
      <c r="J91" s="242">
        <v>47.049</v>
      </c>
      <c r="K91" s="242">
        <v>161.64</v>
      </c>
      <c r="L91" s="242">
        <v>7.268</v>
      </c>
      <c r="M91" s="242">
        <v>98.72</v>
      </c>
      <c r="N91" s="243">
        <v>-0.007254630855024313</v>
      </c>
      <c r="O91" s="240">
        <v>6.778661580609802E-4</v>
      </c>
      <c r="P91" s="240">
        <v>-0.005312987396877578</v>
      </c>
      <c r="Q91" s="240">
        <v>-0.0025732863966134722</v>
      </c>
      <c r="R91" s="240">
        <v>0.001298088445423969</v>
      </c>
    </row>
    <row r="92">
      <c r="A92" s="236">
        <v>43339.0</v>
      </c>
      <c r="B92" s="33">
        <v>0.067984191653141</v>
      </c>
      <c r="C92" s="33">
        <v>0.03965788531907641</v>
      </c>
      <c r="D92" s="33">
        <v>0.107642076972217</v>
      </c>
      <c r="E92" s="33">
        <v>-0.002240447656546123</v>
      </c>
      <c r="F92" s="237">
        <v>-311.4749841918165</v>
      </c>
      <c r="G92" s="237">
        <v>23780.011861916984</v>
      </c>
      <c r="H92" s="240">
        <v>-3.7647394449328E-4</v>
      </c>
      <c r="I92" s="241">
        <v>3.9195808656504534</v>
      </c>
      <c r="J92" s="242">
        <v>47.169</v>
      </c>
      <c r="K92" s="242">
        <v>162.48</v>
      </c>
      <c r="L92" s="242">
        <v>7.312</v>
      </c>
      <c r="M92" s="242">
        <v>99.13</v>
      </c>
      <c r="N92" s="243">
        <v>-9.388662284814941E-4</v>
      </c>
      <c r="O92" s="240">
        <v>0.0010594899725658118</v>
      </c>
      <c r="P92" s="240">
        <v>-0.002707983155431896</v>
      </c>
      <c r="Q92" s="240">
        <v>-4.642831031837676E-4</v>
      </c>
      <c r="R92" s="240">
        <v>0.0015637932741402831</v>
      </c>
    </row>
    <row r="93">
      <c r="A93" s="236">
        <v>43336.0</v>
      </c>
      <c r="B93" s="33">
        <v>0.06927893449502678</v>
      </c>
      <c r="C93" s="33">
        <v>0.03977305826772813</v>
      </c>
      <c r="D93" s="33">
        <v>0.10905199276275492</v>
      </c>
      <c r="E93" s="33">
        <v>-0.0021275216460599606</v>
      </c>
      <c r="F93" s="237">
        <v>-2085.880252181283</v>
      </c>
      <c r="G93" s="237">
        <v>24091.4868461088</v>
      </c>
      <c r="H93" s="240">
        <v>-6.87546902539343E-4</v>
      </c>
      <c r="I93" s="241">
        <v>3.9353535353535354</v>
      </c>
      <c r="J93" s="242">
        <v>47.031</v>
      </c>
      <c r="K93" s="242">
        <v>163.47</v>
      </c>
      <c r="L93" s="242">
        <v>7.355</v>
      </c>
      <c r="M93" s="242">
        <v>99.35</v>
      </c>
      <c r="N93" s="243">
        <v>3.29606310801293E-4</v>
      </c>
      <c r="O93" s="240">
        <v>-0.0019716332786859545</v>
      </c>
      <c r="P93" s="240">
        <v>-0.0023049655810701473</v>
      </c>
      <c r="Q93" s="240">
        <v>-5.526557044846317E-4</v>
      </c>
      <c r="R93" s="240">
        <v>0.00210084620085723</v>
      </c>
    </row>
    <row r="94">
      <c r="A94" s="236">
        <v>43335.0</v>
      </c>
      <c r="B94" s="33">
        <v>0.07868229423305845</v>
      </c>
      <c r="C94" s="33">
        <v>0.03981159805287127</v>
      </c>
      <c r="D94" s="33">
        <v>0.11849389228592971</v>
      </c>
      <c r="E94" s="33">
        <v>0.0032385474691262435</v>
      </c>
      <c r="F94" s="237">
        <v>3123.962496787917</v>
      </c>
      <c r="G94" s="237">
        <v>26177.367098290084</v>
      </c>
      <c r="H94" s="240">
        <v>-0.00203810593194642</v>
      </c>
      <c r="I94" s="241">
        <v>3.96448294531673</v>
      </c>
      <c r="J94" s="242">
        <v>46.953</v>
      </c>
      <c r="K94" s="242">
        <v>164.23</v>
      </c>
      <c r="L94" s="242">
        <v>7.324</v>
      </c>
      <c r="M94" s="242">
        <v>98.33</v>
      </c>
      <c r="N94" s="243">
        <v>-5.38397435912478E-4</v>
      </c>
      <c r="O94" s="240">
        <v>-0.0029542585550625944</v>
      </c>
      <c r="P94" s="240">
        <v>-0.003448640017390684</v>
      </c>
      <c r="Q94" s="240">
        <v>-0.0038579621538853415</v>
      </c>
      <c r="R94" s="240">
        <v>-0.0019629434997276243</v>
      </c>
    </row>
    <row r="95">
      <c r="A95" s="236">
        <v>43334.0</v>
      </c>
      <c r="B95" s="33">
        <v>0.06450281998033634</v>
      </c>
      <c r="C95" s="33">
        <v>0.03985021259996426</v>
      </c>
      <c r="D95" s="33">
        <v>0.1043530325803006</v>
      </c>
      <c r="E95" s="33">
        <v>-0.003173666530684312</v>
      </c>
      <c r="F95" s="237">
        <v>-3101.6282718442344</v>
      </c>
      <c r="G95" s="237">
        <v>23053.404601502167</v>
      </c>
      <c r="H95" s="240">
        <v>-0.003284699356158355</v>
      </c>
      <c r="I95" s="241">
        <v>3.930350918645583</v>
      </c>
      <c r="J95" s="242">
        <v>47.019</v>
      </c>
      <c r="K95" s="242">
        <v>163.8</v>
      </c>
      <c r="L95" s="242">
        <v>7.322</v>
      </c>
      <c r="M95" s="242">
        <v>98.66</v>
      </c>
      <c r="N95" s="243">
        <v>-0.003092214989948531</v>
      </c>
      <c r="O95" s="240">
        <v>-0.003428636426931512</v>
      </c>
      <c r="P95" s="240">
        <v>-0.0043414885573619015</v>
      </c>
      <c r="Q95" s="240">
        <v>-0.0036790451322410433</v>
      </c>
      <c r="R95" s="240">
        <v>-0.0012149688875845073</v>
      </c>
    </row>
    <row r="96">
      <c r="A96" s="236">
        <v>43333.0</v>
      </c>
      <c r="B96" s="33">
        <v>0.07850389254935898</v>
      </c>
      <c r="C96" s="33">
        <v>0.03988890212676034</v>
      </c>
      <c r="D96" s="33">
        <v>0.11839279467611932</v>
      </c>
      <c r="E96" s="33">
        <v>-0.006179198734281191</v>
      </c>
      <c r="F96" s="237">
        <v>-6139.807878311822</v>
      </c>
      <c r="G96" s="237">
        <v>26155.0328733464</v>
      </c>
      <c r="H96" s="240">
        <v>-0.002984778943800431</v>
      </c>
      <c r="I96" s="241">
        <v>3.931210301170981</v>
      </c>
      <c r="J96" s="242">
        <v>47.309</v>
      </c>
      <c r="K96" s="242">
        <v>164.6</v>
      </c>
      <c r="L96" s="242">
        <v>7.367</v>
      </c>
      <c r="M96" s="242">
        <v>98.72</v>
      </c>
      <c r="N96" s="243">
        <v>-0.0050810981666131</v>
      </c>
      <c r="O96" s="240">
        <v>2.552031369283207E-4</v>
      </c>
      <c r="P96" s="240">
        <v>-0.005465485643755041</v>
      </c>
      <c r="Q96" s="240">
        <v>-9.460062913394888E-6</v>
      </c>
      <c r="R96" s="240">
        <v>-0.002729077371689629</v>
      </c>
    </row>
    <row r="97">
      <c r="A97" s="236">
        <v>43329.0</v>
      </c>
      <c r="B97" s="33">
        <v>0.10614069912334669</v>
      </c>
      <c r="C97" s="33">
        <v>0.040044414415753564</v>
      </c>
      <c r="D97" s="33">
        <v>0.14618511353910024</v>
      </c>
      <c r="E97" s="33">
        <v>-5.012328035095623E-4</v>
      </c>
      <c r="F97" s="237">
        <v>-524.770169630785</v>
      </c>
      <c r="G97" s="237">
        <v>32294.840751658223</v>
      </c>
      <c r="H97" s="240">
        <v>-9.928905845345529E-4</v>
      </c>
      <c r="I97" s="241">
        <v>3.9705459588073335</v>
      </c>
      <c r="J97" s="242">
        <v>47.37</v>
      </c>
      <c r="K97" s="242">
        <v>165.93</v>
      </c>
      <c r="L97" s="242">
        <v>7.409</v>
      </c>
      <c r="M97" s="242">
        <v>98.91</v>
      </c>
      <c r="N97" s="243">
        <v>4.21950079198985E-4</v>
      </c>
      <c r="O97" s="240">
        <v>-9.791266116497093E-4</v>
      </c>
      <c r="P97" s="240">
        <v>-7.399316285477223E-4</v>
      </c>
      <c r="Q97" s="240">
        <v>-0.004217414454117459</v>
      </c>
      <c r="R97" s="240">
        <v>-0.0064413284362961525</v>
      </c>
    </row>
    <row r="98">
      <c r="A98" s="236">
        <v>43328.0</v>
      </c>
      <c r="B98" s="33">
        <v>0.10847704447240984</v>
      </c>
      <c r="C98" s="33">
        <v>0.040083482137134786</v>
      </c>
      <c r="D98" s="33">
        <v>0.14856052660954464</v>
      </c>
      <c r="E98" s="33">
        <v>-0.002273905293610541</v>
      </c>
      <c r="F98" s="237">
        <v>-2273.1548850170875</v>
      </c>
      <c r="G98" s="237">
        <v>32819.61092128901</v>
      </c>
      <c r="H98" s="240">
        <v>6.275420317320372E-4</v>
      </c>
      <c r="I98" s="241">
        <v>3.9667818828170875</v>
      </c>
      <c r="J98" s="242">
        <v>47.504</v>
      </c>
      <c r="K98" s="242">
        <v>165.94</v>
      </c>
      <c r="L98" s="242">
        <v>7.403</v>
      </c>
      <c r="M98" s="242">
        <v>99.02</v>
      </c>
      <c r="N98" s="243">
        <v>8.073092264134033E-4</v>
      </c>
      <c r="O98" s="240">
        <v>0.0021950080860448176</v>
      </c>
      <c r="P98" s="240">
        <v>4.6283000453476814E-4</v>
      </c>
      <c r="Q98" s="240">
        <v>-0.0018214006714609339</v>
      </c>
      <c r="R98" s="240">
        <v>-0.004351555966158401</v>
      </c>
    </row>
    <row r="99">
      <c r="A99" s="236">
        <v>43327.0</v>
      </c>
      <c r="B99" s="33">
        <v>0.11872751319071409</v>
      </c>
      <c r="C99" s="33">
        <v>0.04012262616265933</v>
      </c>
      <c r="D99" s="33">
        <v>0.15885013935337342</v>
      </c>
      <c r="E99" s="33">
        <v>-2.0353365648355541E-4</v>
      </c>
      <c r="F99" s="237">
        <v>-235.5570376672913</v>
      </c>
      <c r="G99" s="237">
        <v>35092.765806306095</v>
      </c>
      <c r="H99" s="240">
        <v>4.429987099075683E-4</v>
      </c>
      <c r="I99" s="241">
        <v>3.9913176283342136</v>
      </c>
      <c r="J99" s="242">
        <v>47.272</v>
      </c>
      <c r="K99" s="242">
        <v>167.31</v>
      </c>
      <c r="L99" s="242">
        <v>7.367</v>
      </c>
      <c r="M99" s="242">
        <v>99.53</v>
      </c>
      <c r="N99" s="243">
        <v>0.003009483141885575</v>
      </c>
      <c r="O99" s="240">
        <v>-4.50089653820096E-4</v>
      </c>
      <c r="P99" s="240">
        <v>0.003536695546529615</v>
      </c>
      <c r="Q99" s="240">
        <v>-0.008862055192801107</v>
      </c>
      <c r="R99" s="240">
        <v>-0.007386666748398274</v>
      </c>
    </row>
    <row r="100">
      <c r="A100" s="236">
        <v>43326.0</v>
      </c>
      <c r="B100" s="33">
        <v>0.11975455992626087</v>
      </c>
      <c r="C100" s="33">
        <v>0.04016184671609302</v>
      </c>
      <c r="D100" s="33">
        <v>0.1599164066423539</v>
      </c>
      <c r="E100" s="33">
        <v>0.004360065045290208</v>
      </c>
      <c r="F100" s="237">
        <v>4281.6719254785385</v>
      </c>
      <c r="G100" s="237">
        <v>35328.32284397339</v>
      </c>
      <c r="H100" s="240">
        <v>0.005463824623766389</v>
      </c>
      <c r="I100" s="241">
        <v>3.9653614789678957</v>
      </c>
      <c r="J100" s="242">
        <v>47.508</v>
      </c>
      <c r="K100" s="242">
        <v>166.29</v>
      </c>
      <c r="L100" s="242">
        <v>7.502</v>
      </c>
      <c r="M100" s="242">
        <v>100.83</v>
      </c>
      <c r="N100" s="243">
        <v>0.007452012296680947</v>
      </c>
      <c r="O100" s="240">
        <v>0.0036999189928108947</v>
      </c>
      <c r="P100" s="240">
        <v>0.007444695119067572</v>
      </c>
      <c r="Q100" s="240">
        <v>0.0018740589014114573</v>
      </c>
      <c r="R100" s="240">
        <v>0.0012918787880757583</v>
      </c>
    </row>
    <row r="101">
      <c r="A101" s="236">
        <v>43325.0</v>
      </c>
      <c r="B101" s="33">
        <v>0.10033394096037263</v>
      </c>
      <c r="C101" s="33">
        <v>0.04020114402207745</v>
      </c>
      <c r="D101" s="33">
        <v>0.14053508498245007</v>
      </c>
      <c r="E101" s="33">
        <v>-0.002827535259083948</v>
      </c>
      <c r="F101" s="237">
        <v>-2886.5101192577677</v>
      </c>
      <c r="G101" s="237">
        <v>31046.650918494848</v>
      </c>
      <c r="H101" s="240">
        <v>0.006330562538905957</v>
      </c>
      <c r="I101" s="241">
        <v>3.9570180529086803</v>
      </c>
      <c r="J101" s="242">
        <v>47.19</v>
      </c>
      <c r="K101" s="242">
        <v>165.7</v>
      </c>
      <c r="L101" s="242">
        <v>7.442</v>
      </c>
      <c r="M101" s="242">
        <v>100.31</v>
      </c>
      <c r="N101" s="243">
        <v>0.010649314960873549</v>
      </c>
      <c r="O101" s="240">
        <v>0.0024833103794359803</v>
      </c>
      <c r="P101" s="240">
        <v>0.007943142478542073</v>
      </c>
      <c r="Q101" s="240">
        <v>-1.2147581931979771E-4</v>
      </c>
      <c r="R101" s="240">
        <v>0.0016640305840807483</v>
      </c>
    </row>
    <row r="102">
      <c r="A102" s="236">
        <v>43322.0</v>
      </c>
      <c r="B102" s="33">
        <v>0.11328159928051887</v>
      </c>
      <c r="C102" s="33">
        <v>0.040319498714978565</v>
      </c>
      <c r="D102" s="33">
        <v>0.15360109799549743</v>
      </c>
      <c r="E102" s="33">
        <v>0.014858944085092909</v>
      </c>
      <c r="F102" s="237">
        <v>14711.25373820659</v>
      </c>
      <c r="G102" s="237">
        <v>33933.161037752616</v>
      </c>
      <c r="H102" s="240">
        <v>0.006575435180174785</v>
      </c>
      <c r="I102" s="241">
        <v>3.955351280367695</v>
      </c>
      <c r="J102" s="242">
        <v>47.334</v>
      </c>
      <c r="K102" s="242">
        <v>165.54</v>
      </c>
      <c r="L102" s="242">
        <v>7.563</v>
      </c>
      <c r="M102" s="242">
        <v>101.74</v>
      </c>
      <c r="N102" s="243">
        <v>0.00962522863322938</v>
      </c>
      <c r="O102" s="240">
        <v>0.0033367902755736165</v>
      </c>
      <c r="P102" s="240">
        <v>0.007085535608494935</v>
      </c>
      <c r="Q102" s="240">
        <v>0.0034172522504613</v>
      </c>
      <c r="R102" s="240">
        <v>0.005380458350259354</v>
      </c>
    </row>
    <row r="103">
      <c r="A103" s="236">
        <v>43321.0</v>
      </c>
      <c r="B103" s="33">
        <v>0.046650356142579105</v>
      </c>
      <c r="C103" s="33">
        <v>0.04035910529524868</v>
      </c>
      <c r="D103" s="33">
        <v>0.08700946143782778</v>
      </c>
      <c r="E103" s="33">
        <v>0.006960278790708909</v>
      </c>
      <c r="F103" s="237">
        <v>6791.87992021392</v>
      </c>
      <c r="G103" s="237">
        <v>19221.907299546026</v>
      </c>
      <c r="H103" s="240">
        <v>3.039110627610535E-4</v>
      </c>
      <c r="I103" s="241">
        <v>3.8769137355250036</v>
      </c>
      <c r="J103" s="242">
        <v>46.981</v>
      </c>
      <c r="K103" s="242">
        <v>162.59</v>
      </c>
      <c r="L103" s="242">
        <v>7.458</v>
      </c>
      <c r="M103" s="242">
        <v>100.42</v>
      </c>
      <c r="N103" s="243">
        <v>-3.1155276151817457E-4</v>
      </c>
      <c r="O103" s="240">
        <v>0.0016973848311166624</v>
      </c>
      <c r="P103" s="240">
        <v>-3.358270262075654E-4</v>
      </c>
      <c r="Q103" s="240">
        <v>-0.00129960797622856</v>
      </c>
      <c r="R103" s="240">
        <v>7.227086561424345E-4</v>
      </c>
    </row>
    <row r="104">
      <c r="A104" s="236">
        <v>43320.0</v>
      </c>
      <c r="B104" s="33">
        <v>0.015866697893814938</v>
      </c>
      <c r="C104" s="33">
        <v>0.04039878976456554</v>
      </c>
      <c r="D104" s="33">
        <v>0.05626548765838048</v>
      </c>
      <c r="E104" s="33">
        <v>-0.002092917335277462</v>
      </c>
      <c r="F104" s="237">
        <v>-2047.948729139538</v>
      </c>
      <c r="G104" s="237">
        <v>12430.027379332107</v>
      </c>
      <c r="H104" s="240">
        <v>1.2717331793382072E-4</v>
      </c>
      <c r="I104" s="241">
        <v>3.8315694104860465</v>
      </c>
      <c r="J104" s="242">
        <v>46.838</v>
      </c>
      <c r="K104" s="242">
        <v>161.77</v>
      </c>
      <c r="L104" s="242">
        <v>7.443</v>
      </c>
      <c r="M104" s="242">
        <v>99.79</v>
      </c>
      <c r="N104" s="243">
        <v>-0.0019499508597206432</v>
      </c>
      <c r="O104" s="240">
        <v>0.0031573670333763606</v>
      </c>
      <c r="P104" s="240">
        <v>-4.194049835983075E-4</v>
      </c>
      <c r="Q104" s="240">
        <v>-5.898589280617003E-4</v>
      </c>
      <c r="R104" s="240">
        <v>6.607665508423141E-4</v>
      </c>
    </row>
    <row r="105">
      <c r="A105" s="236">
        <v>43319.0</v>
      </c>
      <c r="B105" s="33">
        <v>0.025097134833422557</v>
      </c>
      <c r="C105" s="33">
        <v>0.0404385523529165</v>
      </c>
      <c r="D105" s="33">
        <v>0.06553568718633905</v>
      </c>
      <c r="E105" s="33">
        <v>-0.003955628267148287</v>
      </c>
      <c r="F105" s="237">
        <v>-3233.3909654870513</v>
      </c>
      <c r="G105" s="237">
        <v>14477.976108471645</v>
      </c>
      <c r="H105" s="240">
        <v>0.0024931784832151038</v>
      </c>
      <c r="I105" s="241">
        <v>3.8417270528797873</v>
      </c>
      <c r="J105" s="242">
        <v>46.861</v>
      </c>
      <c r="K105" s="242">
        <v>162.03</v>
      </c>
      <c r="L105" s="242">
        <v>7.485</v>
      </c>
      <c r="M105" s="242">
        <v>100.1</v>
      </c>
      <c r="N105" s="243">
        <v>6.279106646592814E-4</v>
      </c>
      <c r="O105" s="240">
        <v>0.00597219954375768</v>
      </c>
      <c r="P105" s="240">
        <v>0.0012276519693877146</v>
      </c>
      <c r="Q105" s="240">
        <v>0.00303466528139514</v>
      </c>
      <c r="R105" s="240">
        <v>2.5704025723867946E-4</v>
      </c>
    </row>
    <row r="106">
      <c r="A106" s="236">
        <v>43318.0</v>
      </c>
      <c r="B106" s="33">
        <v>0.03969349009257376</v>
      </c>
      <c r="C106" s="33">
        <v>0.040478393291195236</v>
      </c>
      <c r="D106" s="33">
        <v>0.08017188338376899</v>
      </c>
      <c r="E106" s="33">
        <v>0.006430065556227211</v>
      </c>
      <c r="F106" s="237">
        <v>6264.557157083458</v>
      </c>
      <c r="G106" s="237">
        <v>17711.367073958696</v>
      </c>
      <c r="H106" s="240">
        <v>0.0054551752165027416</v>
      </c>
      <c r="I106" s="241">
        <v>3.8800659663156254</v>
      </c>
      <c r="J106" s="242">
        <v>46.742</v>
      </c>
      <c r="K106" s="242">
        <v>162.75</v>
      </c>
      <c r="L106" s="242">
        <v>7.487</v>
      </c>
      <c r="M106" s="242">
        <v>100.2</v>
      </c>
      <c r="N106" s="243">
        <v>0.005655386960330966</v>
      </c>
      <c r="O106" s="240">
        <v>0.006509000626952921</v>
      </c>
      <c r="P106" s="240">
        <v>0.00469114249586781</v>
      </c>
      <c r="Q106" s="240">
        <v>0.00613483292902095</v>
      </c>
      <c r="R106" s="240">
        <v>9.233072702363362E-4</v>
      </c>
    </row>
    <row r="107">
      <c r="A107" s="236">
        <v>43315.0</v>
      </c>
      <c r="B107" s="33">
        <v>0.011216488659952556</v>
      </c>
      <c r="C107" s="33">
        <v>0.04059838852822446</v>
      </c>
      <c r="D107" s="33">
        <v>0.05181487718817702</v>
      </c>
      <c r="E107" s="33">
        <v>0.005005098160566388</v>
      </c>
      <c r="F107" s="237">
        <v>4879.014472655198</v>
      </c>
      <c r="G107" s="237">
        <v>11446.809916875238</v>
      </c>
      <c r="H107" s="240">
        <v>0.002439118623700694</v>
      </c>
      <c r="I107" s="241">
        <v>3.853756050932844</v>
      </c>
      <c r="J107" s="242">
        <v>46.395</v>
      </c>
      <c r="K107" s="242">
        <v>161.97</v>
      </c>
      <c r="L107" s="242">
        <v>7.456</v>
      </c>
      <c r="M107" s="242">
        <v>99.59</v>
      </c>
      <c r="N107" s="243">
        <v>0.0011759387273828266</v>
      </c>
      <c r="O107" s="240">
        <v>0.005016206352922548</v>
      </c>
      <c r="P107" s="240">
        <v>0.0031974618264594135</v>
      </c>
      <c r="Q107" s="240">
        <v>0.0011265449426185088</v>
      </c>
      <c r="R107" s="240">
        <v>-0.001472927748383997</v>
      </c>
    </row>
    <row r="108">
      <c r="A108" s="236">
        <v>43314.0</v>
      </c>
      <c r="B108" s="33">
        <v>-0.010908907258447457</v>
      </c>
      <c r="C108" s="33">
        <v>0.04063854519343537</v>
      </c>
      <c r="D108" s="33">
        <v>0.029729637934987913</v>
      </c>
      <c r="E108" s="33">
        <v>0.004930361932714623</v>
      </c>
      <c r="F108" s="237">
        <v>4791.453490378414</v>
      </c>
      <c r="G108" s="237">
        <v>6567.79544422004</v>
      </c>
      <c r="H108" s="240">
        <v>0.0017559569230422426</v>
      </c>
      <c r="I108" s="241">
        <v>3.8341691626457672</v>
      </c>
      <c r="J108" s="242">
        <v>46.026</v>
      </c>
      <c r="K108" s="242">
        <v>161.43</v>
      </c>
      <c r="L108" s="242">
        <v>7.417</v>
      </c>
      <c r="M108" s="242">
        <v>100.02</v>
      </c>
      <c r="N108" s="243">
        <v>0.0020350321146100914</v>
      </c>
      <c r="O108" s="240">
        <v>0.003451856557627068</v>
      </c>
      <c r="P108" s="240">
        <v>0.0028549601093709187</v>
      </c>
      <c r="Q108" s="240">
        <v>1.0079338829264521E-4</v>
      </c>
      <c r="R108" s="240">
        <v>3.295311780763625E-5</v>
      </c>
    </row>
    <row r="109">
      <c r="A109" s="236">
        <v>43313.0</v>
      </c>
      <c r="B109" s="33">
        <v>-0.032638031084714206</v>
      </c>
      <c r="C109" s="33">
        <v>0.0406787813767952</v>
      </c>
      <c r="D109" s="33">
        <v>0.008040750292080998</v>
      </c>
      <c r="E109" s="33">
        <v>-0.0026181042221789285</v>
      </c>
      <c r="F109" s="237">
        <v>-960.3205916210429</v>
      </c>
      <c r="G109" s="237">
        <v>1776.3419538416254</v>
      </c>
      <c r="H109" s="240">
        <v>-0.002534254415529212</v>
      </c>
      <c r="I109" s="241">
        <v>3.8146040675960196</v>
      </c>
      <c r="J109" s="242">
        <v>45.835</v>
      </c>
      <c r="K109" s="242">
        <v>160.47</v>
      </c>
      <c r="L109" s="242">
        <v>7.35</v>
      </c>
      <c r="M109" s="242">
        <v>99.92</v>
      </c>
      <c r="N109" s="243">
        <v>-0.0015760151236739646</v>
      </c>
      <c r="O109" s="240">
        <v>-0.002636768145306704</v>
      </c>
      <c r="P109" s="240">
        <v>-0.001147525253456405</v>
      </c>
      <c r="Q109" s="240">
        <v>-0.003135107164462414</v>
      </c>
      <c r="R109" s="240">
        <v>-0.0023334435825209296</v>
      </c>
    </row>
    <row r="110">
      <c r="A110" s="236">
        <v>43312.0</v>
      </c>
      <c r="B110" s="33">
        <v>-0.02829106508480136</v>
      </c>
      <c r="C110" s="33">
        <v>0.0406787813767952</v>
      </c>
      <c r="D110" s="33">
        <v>0.012387716291993842</v>
      </c>
      <c r="E110" s="33">
        <v>0.0029556130585910332</v>
      </c>
      <c r="F110" s="237">
        <v>2779.9357793658637</v>
      </c>
      <c r="G110" s="237">
        <v>2736.6625454626683</v>
      </c>
      <c r="H110" s="240">
        <v>-0.001946248384410241</v>
      </c>
      <c r="I110" s="241">
        <v>3.84</v>
      </c>
      <c r="J110" s="242">
        <v>45.7</v>
      </c>
      <c r="K110" s="242">
        <v>160.42</v>
      </c>
      <c r="L110" s="242">
        <v>7.43</v>
      </c>
      <c r="M110" s="242">
        <v>100.03</v>
      </c>
      <c r="N110" s="243">
        <v>-0.0012531913187162254</v>
      </c>
      <c r="O110" s="240">
        <v>-0.003499173332348282</v>
      </c>
      <c r="P110" s="240">
        <v>-6.301806595682136E-4</v>
      </c>
      <c r="Q110" s="240">
        <v>-0.0019402006917225527</v>
      </c>
      <c r="R110" s="240">
        <v>-0.002097837061782496</v>
      </c>
    </row>
    <row r="111">
      <c r="A111" s="236">
        <v>43311.0</v>
      </c>
      <c r="B111" s="33">
        <v>-0.04476676196123595</v>
      </c>
      <c r="C111" s="33">
        <v>0.04457088229550272</v>
      </c>
      <c r="D111" s="33">
        <v>-1.9587966573322846E-4</v>
      </c>
      <c r="E111" s="33">
        <v>-0.00794027208299974</v>
      </c>
      <c r="F111" s="237">
        <v>-8008.810143885387</v>
      </c>
      <c r="G111" s="237">
        <v>-43.27323390319537</v>
      </c>
      <c r="H111" s="240">
        <v>-0.0017900131329156934</v>
      </c>
      <c r="I111" s="241">
        <v>3.8105862716390226</v>
      </c>
      <c r="J111" s="242">
        <v>45.551</v>
      </c>
      <c r="K111" s="242">
        <v>160.05</v>
      </c>
      <c r="L111" s="242">
        <v>7.414</v>
      </c>
      <c r="M111" s="242">
        <v>100.01</v>
      </c>
      <c r="N111" s="243">
        <v>-0.001151620089779944</v>
      </c>
      <c r="O111" s="240">
        <v>-0.0031580778003189223</v>
      </c>
      <c r="P111" s="240">
        <v>-0.0022070831326460225</v>
      </c>
      <c r="Q111" s="240">
        <v>0.0016611331347190876</v>
      </c>
      <c r="R111" s="240">
        <v>-0.0024306291249428145</v>
      </c>
    </row>
    <row r="112">
      <c r="A112" s="236">
        <v>43308.0</v>
      </c>
      <c r="B112" s="33">
        <v>-0.00869165523015001</v>
      </c>
      <c r="C112" s="33">
        <v>0.044748278841952475</v>
      </c>
      <c r="D112" s="33">
        <v>0.036056623611802466</v>
      </c>
      <c r="E112" s="33">
        <v>-8.540861288220167E-4</v>
      </c>
      <c r="F112" s="237">
        <v>-877.1024480066035</v>
      </c>
      <c r="G112" s="237">
        <v>7965.536909982192</v>
      </c>
      <c r="H112" s="240">
        <v>0.002322209381900823</v>
      </c>
      <c r="I112" s="241">
        <v>3.8324221370572857</v>
      </c>
      <c r="J112" s="242">
        <v>46.194</v>
      </c>
      <c r="K112" s="242">
        <v>161.02</v>
      </c>
      <c r="L112" s="242">
        <v>7.419</v>
      </c>
      <c r="M112" s="242">
        <v>100.62</v>
      </c>
      <c r="N112" s="243">
        <v>0.001471241545345392</v>
      </c>
      <c r="O112" s="240">
        <v>0.0035699333031659433</v>
      </c>
      <c r="P112" s="240">
        <v>5.372618126796939E-4</v>
      </c>
      <c r="Q112" s="240">
        <v>0.006449667191380996</v>
      </c>
      <c r="R112" s="240">
        <v>0.0011576593892009084</v>
      </c>
    </row>
    <row r="113">
      <c r="A113" s="236">
        <v>43307.0</v>
      </c>
      <c r="B113" s="33">
        <v>-0.004765952641704611</v>
      </c>
      <c r="C113" s="33">
        <v>0.044792848840799045</v>
      </c>
      <c r="D113" s="33">
        <v>0.040026896199094435</v>
      </c>
      <c r="E113" s="33">
        <v>0.0034243188130746774</v>
      </c>
      <c r="F113" s="237">
        <v>3482.457966002221</v>
      </c>
      <c r="G113" s="237">
        <v>8842.639357988795</v>
      </c>
      <c r="H113" s="240">
        <v>0.0017837975865233667</v>
      </c>
      <c r="I113" s="241">
        <v>3.835436165972595</v>
      </c>
      <c r="J113" s="242">
        <v>46.282</v>
      </c>
      <c r="K113" s="242">
        <v>160.85</v>
      </c>
      <c r="L113" s="242">
        <v>7.423</v>
      </c>
      <c r="M113" s="242">
        <v>100.73</v>
      </c>
      <c r="N113" s="243">
        <v>-7.403792154670278E-4</v>
      </c>
      <c r="O113" s="240">
        <v>0.005123973605146752</v>
      </c>
      <c r="P113" s="240">
        <v>-4.367066287607931E-4</v>
      </c>
      <c r="Q113" s="240">
        <v>0.007316576695708806</v>
      </c>
      <c r="R113" s="240">
        <v>0.0010566566708464231</v>
      </c>
    </row>
    <row r="114">
      <c r="A114" s="236">
        <v>43306.0</v>
      </c>
      <c r="B114" s="33">
        <v>-0.020574228900059967</v>
      </c>
      <c r="C114" s="33">
        <v>0.044837507713023174</v>
      </c>
      <c r="D114" s="33">
        <v>0.024263278812963206</v>
      </c>
      <c r="E114" s="33">
        <v>0.004396395461449809</v>
      </c>
      <c r="F114" s="237">
        <v>4466.138809870006</v>
      </c>
      <c r="G114" s="237">
        <v>5360.181391986574</v>
      </c>
      <c r="H114" s="240">
        <v>-0.003057509192981721</v>
      </c>
      <c r="I114" s="241">
        <v>3.8236923995055205</v>
      </c>
      <c r="J114" s="242">
        <v>45.979</v>
      </c>
      <c r="K114" s="242">
        <v>161.11</v>
      </c>
      <c r="L114" s="242">
        <v>7.377</v>
      </c>
      <c r="M114" s="242">
        <v>100.74</v>
      </c>
      <c r="N114" s="243">
        <v>-0.008232491764327018</v>
      </c>
      <c r="O114" s="240">
        <v>8.740868163973717E-6</v>
      </c>
      <c r="P114" s="240">
        <v>-0.003643918337255636</v>
      </c>
      <c r="Q114" s="240">
        <v>0.004332777713761282</v>
      </c>
      <c r="R114" s="240">
        <v>0.001156142883730486</v>
      </c>
    </row>
    <row r="115">
      <c r="A115" s="236">
        <v>43305.0</v>
      </c>
      <c r="B115" s="33">
        <v>-0.04083530230015413</v>
      </c>
      <c r="C115" s="33">
        <v>0.04488225572471282</v>
      </c>
      <c r="D115" s="33">
        <v>0.004046953424558693</v>
      </c>
      <c r="E115" s="33">
        <v>-0.002469321514954386</v>
      </c>
      <c r="F115" s="237">
        <v>-2256.4896372976505</v>
      </c>
      <c r="G115" s="237">
        <v>894.0425821165682</v>
      </c>
      <c r="H115" s="240">
        <v>-0.00448983051676548</v>
      </c>
      <c r="I115" s="241">
        <v>3.8155163188871057</v>
      </c>
      <c r="J115" s="242">
        <v>45.7</v>
      </c>
      <c r="K115" s="242">
        <v>160.76</v>
      </c>
      <c r="L115" s="242">
        <v>7.276</v>
      </c>
      <c r="M115" s="242">
        <v>100.27</v>
      </c>
      <c r="N115" s="243">
        <v>-0.008945965858780639</v>
      </c>
      <c r="O115" s="240">
        <v>-0.0020139216516820158</v>
      </c>
      <c r="P115" s="240">
        <v>-0.004368061262379319</v>
      </c>
      <c r="Q115" s="240">
        <v>-2.309564148366139E-4</v>
      </c>
      <c r="R115" s="240">
        <v>-3.99015610081969E-4</v>
      </c>
    </row>
    <row r="116">
      <c r="A116" s="236">
        <v>43301.0</v>
      </c>
      <c r="B116" s="33">
        <v>-0.03080101489942212</v>
      </c>
      <c r="C116" s="33">
        <v>0.04506214452521267</v>
      </c>
      <c r="D116" s="33">
        <v>0.014261129625790549</v>
      </c>
      <c r="E116" s="33">
        <v>-0.011099601525440586</v>
      </c>
      <c r="F116" s="237">
        <v>-7069.479014214974</v>
      </c>
      <c r="G116" s="237">
        <v>3150.5322194142186</v>
      </c>
      <c r="H116" s="240">
        <v>-0.0020564156728952523</v>
      </c>
      <c r="I116" s="241">
        <v>3.843832477443379</v>
      </c>
      <c r="J116" s="242">
        <v>45.574</v>
      </c>
      <c r="K116" s="242">
        <v>161.06</v>
      </c>
      <c r="L116" s="242">
        <v>7.261</v>
      </c>
      <c r="M116" s="242">
        <v>100.41</v>
      </c>
      <c r="N116" s="243">
        <v>-0.006018090627028516</v>
      </c>
      <c r="O116" s="240">
        <v>7.159523692427487E-5</v>
      </c>
      <c r="P116" s="240">
        <v>-9.979376672875073E-4</v>
      </c>
      <c r="Q116" s="240">
        <v>0.0023398373660974414</v>
      </c>
      <c r="R116" s="240">
        <v>-6.660933620209105E-4</v>
      </c>
    </row>
    <row r="117">
      <c r="A117" s="236">
        <v>43300.0</v>
      </c>
      <c r="B117" s="33">
        <v>0.0011543350757814454</v>
      </c>
      <c r="C117" s="33">
        <v>0.0451073422629511</v>
      </c>
      <c r="D117" s="33">
        <v>0.04626167733873254</v>
      </c>
      <c r="E117" s="33">
        <v>0.0018260191553907843</v>
      </c>
      <c r="F117" s="237">
        <v>1166.324583172218</v>
      </c>
      <c r="G117" s="237">
        <v>10220.011233629193</v>
      </c>
      <c r="H117" s="240">
        <v>0.002533904744490133</v>
      </c>
      <c r="I117" s="241">
        <v>3.9184582788327678</v>
      </c>
      <c r="J117" s="242">
        <v>45.975</v>
      </c>
      <c r="K117" s="242">
        <v>162.87</v>
      </c>
      <c r="L117" s="242">
        <v>7.281</v>
      </c>
      <c r="M117" s="242">
        <v>100.39</v>
      </c>
      <c r="N117" s="243">
        <v>0.002646231750034348</v>
      </c>
      <c r="O117" s="240">
        <v>0.004292205075783688</v>
      </c>
      <c r="P117" s="240">
        <v>0.003408430360381779</v>
      </c>
      <c r="Q117" s="240">
        <v>0.002749431609352815</v>
      </c>
      <c r="R117" s="240">
        <v>-0.003018542875553846</v>
      </c>
    </row>
    <row r="118">
      <c r="A118" s="236">
        <v>43299.0</v>
      </c>
      <c r="B118" s="33">
        <v>-0.00417041254291843</v>
      </c>
      <c r="C118" s="33">
        <v>0.04515263075919904</v>
      </c>
      <c r="D118" s="33">
        <v>0.04098221821628061</v>
      </c>
      <c r="E118" s="33">
        <v>0.003104335351364045</v>
      </c>
      <c r="F118" s="237">
        <v>1989.4936390998</v>
      </c>
      <c r="G118" s="237">
        <v>9053.686650456975</v>
      </c>
      <c r="H118" s="240">
        <v>-5.822536206179312E-4</v>
      </c>
      <c r="I118" s="241">
        <v>3.9114302401484182</v>
      </c>
      <c r="J118" s="242">
        <v>45.924</v>
      </c>
      <c r="K118" s="242">
        <v>162.13</v>
      </c>
      <c r="L118" s="242">
        <v>7.237</v>
      </c>
      <c r="M118" s="242">
        <v>100.77</v>
      </c>
      <c r="N118" s="243">
        <v>-7.457457831253622E-4</v>
      </c>
      <c r="O118" s="240">
        <v>0.0020422288437963454</v>
      </c>
      <c r="P118" s="240">
        <v>7.435722922732868E-5</v>
      </c>
      <c r="Q118" s="240">
        <v>-0.0036041395693087916</v>
      </c>
      <c r="R118" s="240">
        <v>-0.003764036241161469</v>
      </c>
    </row>
    <row r="119">
      <c r="A119" s="236">
        <v>43298.0</v>
      </c>
      <c r="B119" s="33">
        <v>-0.013221390078555162</v>
      </c>
      <c r="C119" s="33">
        <v>0.045198010287600246</v>
      </c>
      <c r="D119" s="33">
        <v>0.031976620209045084</v>
      </c>
      <c r="E119" s="33">
        <v>0.00267135972671557</v>
      </c>
      <c r="F119" s="237">
        <v>1709.1239146191765</v>
      </c>
      <c r="G119" s="237">
        <v>7064.193011357175</v>
      </c>
      <c r="H119" s="240">
        <v>-0.0014948100864661067</v>
      </c>
      <c r="I119" s="241">
        <v>3.9131255253812776</v>
      </c>
      <c r="J119" s="242">
        <v>45.561</v>
      </c>
      <c r="K119" s="242">
        <v>161.53</v>
      </c>
      <c r="L119" s="242">
        <v>7.21</v>
      </c>
      <c r="M119" s="242">
        <v>100.61</v>
      </c>
      <c r="N119" s="243">
        <v>-2.995497071575833E-4</v>
      </c>
      <c r="O119" s="240">
        <v>-5.925590666644073E-4</v>
      </c>
      <c r="P119" s="240">
        <v>-0.0011592207637412717</v>
      </c>
      <c r="Q119" s="240">
        <v>-0.004847748799652847</v>
      </c>
      <c r="R119" s="240">
        <v>-0.004293294287537701</v>
      </c>
    </row>
    <row r="120">
      <c r="A120" s="236">
        <v>43297.0</v>
      </c>
      <c r="B120" s="33">
        <v>-0.021003343512802402</v>
      </c>
      <c r="C120" s="33">
        <v>0.04524348112289964</v>
      </c>
      <c r="D120" s="33">
        <v>0.024240137610097235</v>
      </c>
      <c r="E120" s="33">
        <v>-0.007522455939933409</v>
      </c>
      <c r="F120" s="237">
        <v>-4711.246033010843</v>
      </c>
      <c r="G120" s="237">
        <v>5355.069096737999</v>
      </c>
      <c r="H120" s="240">
        <v>-0.0024736796730086695</v>
      </c>
      <c r="I120" s="241">
        <v>3.8873828683643197</v>
      </c>
      <c r="J120" s="242">
        <v>45.385</v>
      </c>
      <c r="K120" s="242">
        <v>161.21</v>
      </c>
      <c r="L120" s="242">
        <v>7.221</v>
      </c>
      <c r="M120" s="242">
        <v>101.3</v>
      </c>
      <c r="N120" s="243">
        <v>-0.0027107834091339247</v>
      </c>
      <c r="O120" s="240">
        <v>-0.0018802100547170575</v>
      </c>
      <c r="P120" s="240">
        <v>-0.0018195728139280092</v>
      </c>
      <c r="Q120" s="240">
        <v>-0.004339195863915475</v>
      </c>
      <c r="R120" s="240">
        <v>-0.002007239223428788</v>
      </c>
    </row>
    <row r="121">
      <c r="A121" s="236">
        <v>43296.0</v>
      </c>
      <c r="B121" s="33">
        <v>2.7691640536664627E-4</v>
      </c>
      <c r="C121" s="33">
        <v>0.045289043540948884</v>
      </c>
      <c r="D121" s="33">
        <v>0.04556595994631553</v>
      </c>
      <c r="E121" s="33">
        <v>3.6666595381951823E-4</v>
      </c>
      <c r="F121" s="237">
        <v>199.83536172524327</v>
      </c>
      <c r="G121" s="237">
        <v>10066.315129748842</v>
      </c>
      <c r="H121" s="240">
        <v>9.580102413332446E-4</v>
      </c>
      <c r="I121" s="241">
        <v>3.919968311735865</v>
      </c>
      <c r="J121" s="242">
        <v>45.641</v>
      </c>
      <c r="K121" s="242">
        <v>162.09</v>
      </c>
      <c r="L121" s="242">
        <v>7.315</v>
      </c>
      <c r="M121" s="242">
        <v>101.91</v>
      </c>
      <c r="N121" s="243">
        <v>3.1995589821831594E-4</v>
      </c>
      <c r="O121" s="240">
        <v>0.0020668550937388286</v>
      </c>
      <c r="P121" s="240">
        <v>8.63717687704398E-4</v>
      </c>
      <c r="Q121" s="240">
        <v>0.0020505809979494507</v>
      </c>
      <c r="R121" s="240">
        <v>-9.812579727210096E-4</v>
      </c>
    </row>
    <row r="122">
      <c r="A122" s="236">
        <v>43295.0</v>
      </c>
      <c r="B122" s="33">
        <v>-6.733082112803986E-4</v>
      </c>
      <c r="C122" s="33">
        <v>0.04533469781871194</v>
      </c>
      <c r="D122" s="33">
        <v>0.04466138960743154</v>
      </c>
      <c r="E122" s="33">
        <v>-2.6524903291211873E-4</v>
      </c>
      <c r="F122" s="237">
        <v>-161.9527385523961</v>
      </c>
      <c r="G122" s="237">
        <v>9866.479768023599</v>
      </c>
      <c r="H122" s="240">
        <v>0.0018644756289052913</v>
      </c>
      <c r="I122" s="241">
        <v>3.9164200740888897</v>
      </c>
      <c r="J122" s="242">
        <v>45.641</v>
      </c>
      <c r="K122" s="242">
        <v>162.09</v>
      </c>
      <c r="L122" s="242">
        <v>7.315</v>
      </c>
      <c r="M122" s="242">
        <v>101.91</v>
      </c>
      <c r="N122" s="243">
        <v>3.85608728242189E-4</v>
      </c>
      <c r="O122" s="240">
        <v>0.004675729676686317</v>
      </c>
      <c r="P122" s="240">
        <v>0.002059569319629473</v>
      </c>
      <c r="Q122" s="240">
        <v>-5.170485297901021E-4</v>
      </c>
      <c r="R122" s="240">
        <v>2.906332316621185E-4</v>
      </c>
    </row>
    <row r="123">
      <c r="A123" s="236">
        <v>43294.0</v>
      </c>
      <c r="B123" s="33">
        <v>1.4037065896173973E-5</v>
      </c>
      <c r="C123" s="33">
        <v>0.04538044423427068</v>
      </c>
      <c r="D123" s="33">
        <v>0.04539448130016685</v>
      </c>
      <c r="E123" s="33">
        <v>0.0027726138030923345</v>
      </c>
      <c r="F123" s="237">
        <v>1580.8162964674411</v>
      </c>
      <c r="G123" s="237">
        <v>10028.432506575995</v>
      </c>
      <c r="H123" s="240">
        <v>0.002187681462978288</v>
      </c>
      <c r="I123" s="241">
        <v>3.918985955969141</v>
      </c>
      <c r="J123" s="242">
        <v>45.641</v>
      </c>
      <c r="K123" s="242">
        <v>162.09</v>
      </c>
      <c r="L123" s="242">
        <v>7.315</v>
      </c>
      <c r="M123" s="242">
        <v>101.91</v>
      </c>
      <c r="N123" s="243">
        <v>0.0030812023073386228</v>
      </c>
      <c r="O123" s="240">
        <v>0.0033498921399294592</v>
      </c>
      <c r="P123" s="240">
        <v>0.0026803403172085036</v>
      </c>
      <c r="Q123" s="240">
        <v>-0.005249053261794849</v>
      </c>
      <c r="R123" s="240">
        <v>-0.0016081423854400108</v>
      </c>
    </row>
    <row r="124">
      <c r="A124" s="236">
        <v>43293.0</v>
      </c>
      <c r="B124" s="33">
        <v>-0.007187489932479689</v>
      </c>
      <c r="C124" s="33">
        <v>0.045426283066830546</v>
      </c>
      <c r="D124" s="33">
        <v>0.03823879313435086</v>
      </c>
      <c r="E124" s="33">
        <v>0.0030860621165356584</v>
      </c>
      <c r="F124" s="237">
        <v>1759.1450364541115</v>
      </c>
      <c r="G124" s="237">
        <v>8447.616210108554</v>
      </c>
      <c r="H124" s="240">
        <v>0.0017088740707439567</v>
      </c>
      <c r="I124" s="241">
        <v>3.916204033458731</v>
      </c>
      <c r="J124" s="242">
        <v>45.358</v>
      </c>
      <c r="K124" s="242">
        <v>161.67</v>
      </c>
      <c r="L124" s="242">
        <v>7.27</v>
      </c>
      <c r="M124" s="242">
        <v>102.21</v>
      </c>
      <c r="N124" s="243">
        <v>0.002710820766464709</v>
      </c>
      <c r="O124" s="240">
        <v>0.0032749807405822264</v>
      </c>
      <c r="P124" s="240">
        <v>0.0021483182158796854</v>
      </c>
      <c r="Q124" s="240">
        <v>-0.00828662394121582</v>
      </c>
      <c r="R124" s="240">
        <v>-0.0017336552460522903</v>
      </c>
    </row>
    <row r="125">
      <c r="A125" s="236">
        <v>43292.0</v>
      </c>
      <c r="B125" s="33">
        <v>-0.01519632856767159</v>
      </c>
      <c r="C125" s="33">
        <v>0.045472214596726235</v>
      </c>
      <c r="D125" s="33">
        <v>0.030275886029054642</v>
      </c>
      <c r="E125" s="33">
        <v>7.043684693068704E-4</v>
      </c>
      <c r="F125" s="237">
        <v>395.8486231353618</v>
      </c>
      <c r="G125" s="237">
        <v>6688.471173654442</v>
      </c>
      <c r="H125" s="240">
        <v>0.001036438147674263</v>
      </c>
      <c r="I125" s="241">
        <v>3.9118878734902145</v>
      </c>
      <c r="J125" s="242">
        <v>45.003</v>
      </c>
      <c r="K125" s="242">
        <v>161.09</v>
      </c>
      <c r="L125" s="242">
        <v>7.326</v>
      </c>
      <c r="M125" s="242">
        <v>101.82</v>
      </c>
      <c r="N125" s="243">
        <v>7.426531687483676E-4</v>
      </c>
      <c r="O125" s="240">
        <v>0.003471592441924002</v>
      </c>
      <c r="P125" s="240">
        <v>4.3367598859052797E-4</v>
      </c>
      <c r="Q125" s="240">
        <v>-0.00428761133958111</v>
      </c>
      <c r="R125" s="240">
        <v>-0.0010913293327922124</v>
      </c>
    </row>
    <row r="126">
      <c r="A126" s="236">
        <v>43291.0</v>
      </c>
      <c r="B126" s="33">
        <v>-0.017034192719191477</v>
      </c>
      <c r="C126" s="33">
        <v>0.04551823910542738</v>
      </c>
      <c r="D126" s="33">
        <v>0.0284840463862359</v>
      </c>
      <c r="E126" s="33">
        <v>0.0013361916263893415</v>
      </c>
      <c r="F126" s="237">
        <v>757.6433981897881</v>
      </c>
      <c r="G126" s="237">
        <v>6292.6225505190805</v>
      </c>
      <c r="H126" s="240">
        <v>8.549723989868495E-4</v>
      </c>
      <c r="I126" s="241">
        <v>3.882816206552024</v>
      </c>
      <c r="J126" s="242">
        <v>45.182</v>
      </c>
      <c r="K126" s="242">
        <v>160.79</v>
      </c>
      <c r="L126" s="242">
        <v>7.43</v>
      </c>
      <c r="M126" s="242">
        <v>102.4</v>
      </c>
      <c r="N126" s="243">
        <v>-0.0016035397460654188</v>
      </c>
      <c r="O126" s="240">
        <v>0.00479742997868086</v>
      </c>
      <c r="P126" s="240">
        <v>-1.8709500898850262E-4</v>
      </c>
      <c r="Q126" s="240">
        <v>4.443933924236365E-4</v>
      </c>
      <c r="R126" s="240">
        <v>8.074462843099169E-4</v>
      </c>
    </row>
    <row r="127">
      <c r="A127" s="236">
        <v>43290.0</v>
      </c>
      <c r="B127" s="33">
        <v>-0.020509842377643774</v>
      </c>
      <c r="C127" s="33">
        <v>0.045564356875544325</v>
      </c>
      <c r="D127" s="33">
        <v>0.02505451449790055</v>
      </c>
      <c r="E127" s="33">
        <v>0.0010687543473265765</v>
      </c>
      <c r="F127" s="237">
        <v>605.270989467127</v>
      </c>
      <c r="G127" s="237">
        <v>5534.979152329292</v>
      </c>
      <c r="H127" s="240">
        <v>3.984966103755177E-4</v>
      </c>
      <c r="I127" s="241">
        <v>3.8843743297666995</v>
      </c>
      <c r="J127" s="242">
        <v>44.912</v>
      </c>
      <c r="K127" s="242">
        <v>160.63</v>
      </c>
      <c r="L127" s="242">
        <v>7.452</v>
      </c>
      <c r="M127" s="242">
        <v>102.74</v>
      </c>
      <c r="N127" s="243">
        <v>-0.001497003361106956</v>
      </c>
      <c r="O127" s="240">
        <v>0.002805486284289264</v>
      </c>
      <c r="P127" s="240">
        <v>-5.187905953640826E-4</v>
      </c>
      <c r="Q127" s="240">
        <v>0.0014313830738951576</v>
      </c>
      <c r="R127" s="240">
        <v>0.001914217117643206</v>
      </c>
    </row>
    <row r="128">
      <c r="A128" s="236">
        <v>43289.0</v>
      </c>
      <c r="B128" s="33">
        <v>-0.023295859998144285</v>
      </c>
      <c r="C128" s="33">
        <v>0.04561056819083392</v>
      </c>
      <c r="D128" s="33">
        <v>0.022314708192689638</v>
      </c>
      <c r="E128" s="33">
        <v>1.599712232446305E-4</v>
      </c>
      <c r="F128" s="237">
        <v>86.4305630383451</v>
      </c>
      <c r="G128" s="237">
        <v>4929.708162862165</v>
      </c>
      <c r="H128" s="240">
        <v>-3.7456797311343957E-4</v>
      </c>
      <c r="I128" s="241">
        <v>3.90302854930063</v>
      </c>
      <c r="J128" s="242">
        <v>44.534</v>
      </c>
      <c r="K128" s="242">
        <v>160.88</v>
      </c>
      <c r="L128" s="242">
        <v>7.42</v>
      </c>
      <c r="M128" s="242">
        <v>102.15</v>
      </c>
      <c r="N128" s="243">
        <v>-0.0010368533536953735</v>
      </c>
      <c r="O128" s="240">
        <v>0.002140686516668914</v>
      </c>
      <c r="P128" s="240">
        <v>-0.0015953920106083579</v>
      </c>
      <c r="Q128" s="240">
        <v>-0.00202156334231803</v>
      </c>
      <c r="R128" s="240">
        <v>-0.002806330559634492</v>
      </c>
    </row>
    <row r="129">
      <c r="A129" s="236">
        <v>43288.0</v>
      </c>
      <c r="B129" s="33">
        <v>-0.02373339982301663</v>
      </c>
      <c r="C129" s="33">
        <v>0.04565687333620533</v>
      </c>
      <c r="D129" s="33">
        <v>0.0219234735131887</v>
      </c>
      <c r="E129" s="33">
        <v>-3.3235739444653785E-5</v>
      </c>
      <c r="F129" s="237">
        <v>290.27208538506693</v>
      </c>
      <c r="G129" s="237">
        <v>4843.27759982382</v>
      </c>
      <c r="H129" s="240">
        <v>-7.682937888347934E-4</v>
      </c>
      <c r="I129" s="241">
        <v>3.9014944952856236</v>
      </c>
      <c r="J129" s="242">
        <v>44.534</v>
      </c>
      <c r="K129" s="242">
        <v>160.88</v>
      </c>
      <c r="L129" s="242">
        <v>7.42</v>
      </c>
      <c r="M129" s="242">
        <v>102.15</v>
      </c>
      <c r="N129" s="243">
        <v>-5.648769751083563E-4</v>
      </c>
      <c r="O129" s="240">
        <v>0.0014400898795327761</v>
      </c>
      <c r="P129" s="240">
        <v>-0.0030388397887297636</v>
      </c>
      <c r="Q129" s="240">
        <v>-0.0032271895981787293</v>
      </c>
      <c r="R129" s="240">
        <v>-0.003809469413467381</v>
      </c>
    </row>
    <row r="130">
      <c r="A130" s="236">
        <v>43287.0</v>
      </c>
      <c r="B130" s="33">
        <v>-0.025604417150991283</v>
      </c>
      <c r="C130" s="33">
        <v>0.0462139514475245</v>
      </c>
      <c r="D130" s="33">
        <v>0.020609534296533217</v>
      </c>
      <c r="E130" s="33">
        <v>-0.0012504394031402953</v>
      </c>
      <c r="F130" s="237">
        <v>-720.7178014481042</v>
      </c>
      <c r="G130" s="237">
        <v>4553.005514438753</v>
      </c>
      <c r="H130" s="240">
        <v>-0.0010647044110648738</v>
      </c>
      <c r="I130" s="241">
        <v>3.9018131604941844</v>
      </c>
      <c r="J130" s="242">
        <v>44.534</v>
      </c>
      <c r="K130" s="242">
        <v>160.88</v>
      </c>
      <c r="L130" s="242">
        <v>7.42</v>
      </c>
      <c r="M130" s="242">
        <v>102.15</v>
      </c>
      <c r="N130" s="243">
        <v>-8.402556343021598E-4</v>
      </c>
      <c r="O130" s="240">
        <v>3.50052818272754E-4</v>
      </c>
      <c r="P130" s="240">
        <v>-0.0025460772386836084</v>
      </c>
      <c r="Q130" s="240">
        <v>-0.002915746280862478</v>
      </c>
      <c r="R130" s="240">
        <v>-0.00326101154793638</v>
      </c>
    </row>
    <row r="131">
      <c r="A131" s="236">
        <v>43286.0</v>
      </c>
      <c r="B131" s="33">
        <v>-0.02238904502950858</v>
      </c>
      <c r="C131" s="33">
        <v>0.046260964622954336</v>
      </c>
      <c r="D131" s="33">
        <v>0.023871919593445756</v>
      </c>
      <c r="E131" s="33">
        <v>-0.001021206223919431</v>
      </c>
      <c r="F131" s="237">
        <v>185.01502602990786</v>
      </c>
      <c r="G131" s="237">
        <v>5273.723315886858</v>
      </c>
      <c r="H131" s="240">
        <v>-1.1959726319227296E-4</v>
      </c>
      <c r="I131" s="241">
        <v>3.915164869756827</v>
      </c>
      <c r="J131" s="242">
        <v>44.248</v>
      </c>
      <c r="K131" s="242">
        <v>161.65</v>
      </c>
      <c r="L131" s="242">
        <v>7.465</v>
      </c>
      <c r="M131" s="242">
        <v>103.01</v>
      </c>
      <c r="N131" s="243">
        <v>0.0010836972320558507</v>
      </c>
      <c r="O131" s="240">
        <v>-4.3440177524434187E-4</v>
      </c>
      <c r="P131" s="240">
        <v>-0.0019171072049222193</v>
      </c>
      <c r="Q131" s="240">
        <v>-0.003120858511913386</v>
      </c>
      <c r="R131" s="240">
        <v>0.0011287735277750361</v>
      </c>
    </row>
    <row r="132">
      <c r="A132" s="236">
        <v>43285.0</v>
      </c>
      <c r="B132" s="33">
        <v>-0.01975871821550624</v>
      </c>
      <c r="C132" s="33">
        <v>0.042793152874605854</v>
      </c>
      <c r="D132" s="33">
        <v>0.023034434659099615</v>
      </c>
      <c r="E132" s="33">
        <v>-9.224676061348955E-4</v>
      </c>
      <c r="F132" s="237">
        <v>-535.7361233810925</v>
      </c>
      <c r="G132" s="237">
        <v>5088.70828985695</v>
      </c>
      <c r="H132" s="240">
        <v>-8.45994429691205E-5</v>
      </c>
      <c r="I132" s="241">
        <v>3.90808244964817</v>
      </c>
      <c r="J132" s="242">
        <v>44.341</v>
      </c>
      <c r="K132" s="242">
        <v>162.35</v>
      </c>
      <c r="L132" s="242">
        <v>7.492</v>
      </c>
      <c r="M132" s="242">
        <v>103.32</v>
      </c>
      <c r="N132" s="243">
        <v>9.685120440725559E-4</v>
      </c>
      <c r="O132" s="240">
        <v>-0.0015394704129078802</v>
      </c>
      <c r="P132" s="240">
        <v>0.001412591444565107</v>
      </c>
      <c r="Q132" s="240">
        <v>-0.005454272291443056</v>
      </c>
      <c r="R132" s="240">
        <v>0.002099442740722157</v>
      </c>
    </row>
    <row r="133">
      <c r="A133" s="236">
        <v>43284.0</v>
      </c>
      <c r="B133" s="33">
        <v>-0.017377288871097348</v>
      </c>
      <c r="C133" s="33">
        <v>0.04283677484491636</v>
      </c>
      <c r="D133" s="33">
        <v>0.025459485973819012</v>
      </c>
      <c r="E133" s="33">
        <v>0.0015848820404775075</v>
      </c>
      <c r="F133" s="237">
        <v>907.5509268648611</v>
      </c>
      <c r="G133" s="237">
        <v>5624.444413238042</v>
      </c>
      <c r="H133" s="240">
        <v>6.535480177797185E-4</v>
      </c>
      <c r="I133" s="241">
        <v>3.911630260460888</v>
      </c>
      <c r="J133" s="242">
        <v>44.486</v>
      </c>
      <c r="K133" s="242">
        <v>162.11</v>
      </c>
      <c r="L133" s="242">
        <v>7.485</v>
      </c>
      <c r="M133" s="242">
        <v>103.15</v>
      </c>
      <c r="N133" s="243">
        <v>0.0023334768754026034</v>
      </c>
      <c r="O133" s="240">
        <v>-4.494333516478581E-4</v>
      </c>
      <c r="P133" s="240">
        <v>9.198288945189518E-4</v>
      </c>
      <c r="Q133" s="240">
        <v>-0.005765715608759307</v>
      </c>
      <c r="R133" s="240">
        <v>0.0015509848751911564</v>
      </c>
    </row>
    <row r="134">
      <c r="A134" s="236">
        <v>43283.0</v>
      </c>
      <c r="B134" s="33">
        <v>-0.02152909986566267</v>
      </c>
      <c r="C134" s="33">
        <v>0.04288048583965607</v>
      </c>
      <c r="D134" s="33">
        <v>0.0213513859739934</v>
      </c>
      <c r="E134" s="33">
        <v>-9.162127632499735E-4</v>
      </c>
      <c r="F134" s="237">
        <v>-532.4881351918948</v>
      </c>
      <c r="G134" s="237">
        <v>4716.893486373181</v>
      </c>
      <c r="H134" s="240">
        <v>-0.0019475610925937994</v>
      </c>
      <c r="I134" s="241">
        <v>3.902438186341209</v>
      </c>
      <c r="J134" s="242">
        <v>44.305</v>
      </c>
      <c r="K134" s="242">
        <v>162.58</v>
      </c>
      <c r="L134" s="242">
        <v>7.535</v>
      </c>
      <c r="M134" s="242">
        <v>102.66</v>
      </c>
      <c r="N134" s="243">
        <v>-0.0026006340682823703</v>
      </c>
      <c r="O134" s="240">
        <v>-8.553154412979472E-4</v>
      </c>
      <c r="P134" s="240">
        <v>-0.0010623243276113674</v>
      </c>
      <c r="Q134" s="240">
        <v>-0.004414505126219881</v>
      </c>
      <c r="R134" s="240">
        <v>-0.0022726566478011487</v>
      </c>
    </row>
    <row r="135">
      <c r="A135" s="236">
        <v>43282.0</v>
      </c>
      <c r="B135" s="33">
        <v>-0.0191625511145825</v>
      </c>
      <c r="C135" s="33">
        <v>0.04292428613162712</v>
      </c>
      <c r="D135" s="33">
        <v>0.02376173501704462</v>
      </c>
      <c r="E135" s="33">
        <v>0.0012919747761116214</v>
      </c>
      <c r="F135" s="237">
        <v>559.3714570457169</v>
      </c>
      <c r="G135" s="237">
        <v>5249.381621565076</v>
      </c>
      <c r="H135" s="240">
        <v>-0.00209800557336976</v>
      </c>
      <c r="I135" s="241">
        <v>3.896727297663335</v>
      </c>
      <c r="J135" s="242">
        <v>44.545</v>
      </c>
      <c r="K135" s="242">
        <v>161.66</v>
      </c>
      <c r="L135" s="242">
        <v>7.615</v>
      </c>
      <c r="M135" s="242">
        <v>102.67</v>
      </c>
      <c r="N135" s="243">
        <v>-0.0025039462793613465</v>
      </c>
      <c r="O135" s="240">
        <v>-0.001391043295409992</v>
      </c>
      <c r="P135" s="240">
        <v>-0.002621557396945695</v>
      </c>
      <c r="Q135" s="240">
        <v>-0.0010064408603121706</v>
      </c>
      <c r="R135" s="240">
        <v>-0.0028529321049545566</v>
      </c>
    </row>
    <row r="136">
      <c r="A136" s="236">
        <v>43280.0</v>
      </c>
      <c r="B136" s="33">
        <v>-0.023461005539590785</v>
      </c>
      <c r="C136" s="33">
        <v>0.04469070206207923</v>
      </c>
      <c r="D136" s="33">
        <v>0.021229696522488444</v>
      </c>
      <c r="E136" s="33">
        <v>-0.0062184452906430465</v>
      </c>
      <c r="F136" s="237">
        <v>-357.34123816326246</v>
      </c>
      <c r="G136" s="237">
        <v>4690.010164519359</v>
      </c>
      <c r="H136" s="240">
        <v>0.0014341053202034674</v>
      </c>
      <c r="I136" s="241">
        <v>3.8843081129576627</v>
      </c>
      <c r="J136" s="242">
        <v>44.545</v>
      </c>
      <c r="K136" s="242">
        <v>161.66</v>
      </c>
      <c r="L136" s="242">
        <v>7.615</v>
      </c>
      <c r="M136" s="242">
        <v>102.67</v>
      </c>
      <c r="N136" s="243">
        <v>0.001357704668822864</v>
      </c>
      <c r="O136" s="240">
        <v>0.002118905284961096</v>
      </c>
      <c r="P136" s="240">
        <v>6.109146258043893E-4</v>
      </c>
      <c r="Q136" s="240">
        <v>0.0045360222626693964</v>
      </c>
      <c r="R136" s="240">
        <v>-0.002466645286992253</v>
      </c>
    </row>
    <row r="137">
      <c r="A137" s="236">
        <v>43279.0</v>
      </c>
      <c r="B137" s="33">
        <v>-0.00659594949397851</v>
      </c>
      <c r="C137" s="33">
        <v>0.02944317898016231</v>
      </c>
      <c r="D137" s="33">
        <v>0.022847229486183798</v>
      </c>
      <c r="E137" s="33">
        <v>-0.0013675462055778552</v>
      </c>
      <c r="F137" s="237">
        <v>-831.6737792731547</v>
      </c>
      <c r="G137" s="237">
        <v>5047.3514026826215</v>
      </c>
      <c r="H137" s="240">
        <v>0.0045208142094419835</v>
      </c>
      <c r="I137" s="241">
        <v>3.9326770655959296</v>
      </c>
      <c r="J137" s="242">
        <v>44.418</v>
      </c>
      <c r="K137" s="242">
        <v>163.09</v>
      </c>
      <c r="L137" s="242">
        <v>7.635</v>
      </c>
      <c r="M137" s="242">
        <v>103.36</v>
      </c>
      <c r="N137" s="243">
        <v>0.006410445144235721</v>
      </c>
      <c r="O137" s="240">
        <v>0.003232165865913683</v>
      </c>
      <c r="P137" s="240">
        <v>0.004137942463971848</v>
      </c>
      <c r="Q137" s="240">
        <v>0.005810901546016563</v>
      </c>
      <c r="R137" s="240">
        <v>-0.0013222074179800591</v>
      </c>
    </row>
    <row r="138">
      <c r="A138" s="236">
        <v>43278.0</v>
      </c>
      <c r="B138" s="33">
        <v>-0.002861511448448627</v>
      </c>
      <c r="C138" s="33">
        <v>0.029473377112449652</v>
      </c>
      <c r="D138" s="33">
        <v>0.026611865664001026</v>
      </c>
      <c r="E138" s="33">
        <v>0.011888307456831304</v>
      </c>
      <c r="F138" s="237">
        <v>7195.9878168666355</v>
      </c>
      <c r="G138" s="237">
        <v>5879.025181955776</v>
      </c>
      <c r="H138" s="240">
        <v>0.002283581450521161</v>
      </c>
      <c r="I138" s="241">
        <v>3.9257811993222647</v>
      </c>
      <c r="J138" s="242">
        <v>44.73</v>
      </c>
      <c r="K138" s="242">
        <v>162.93</v>
      </c>
      <c r="L138" s="242">
        <v>7.638</v>
      </c>
      <c r="M138" s="242">
        <v>103.55</v>
      </c>
      <c r="N138" s="243">
        <v>0.006597417321072145</v>
      </c>
      <c r="O138" s="240">
        <v>-0.0023458074558585507</v>
      </c>
      <c r="P138" s="240">
        <v>0.0027968728004307275</v>
      </c>
      <c r="Q138" s="240">
        <v>0.0012320221657613855</v>
      </c>
      <c r="R138" s="240">
        <v>-0.0029580248460402414</v>
      </c>
    </row>
    <row r="139">
      <c r="A139" s="236">
        <v>43277.0</v>
      </c>
      <c r="B139" s="33">
        <v>-0.03546497125674445</v>
      </c>
      <c r="C139" s="33">
        <v>0.02950363725322219</v>
      </c>
      <c r="D139" s="33">
        <v>-0.005961334003522261</v>
      </c>
      <c r="E139" s="33">
        <v>0.0030416813770725018</v>
      </c>
      <c r="F139" s="237">
        <v>1823.9887702409983</v>
      </c>
      <c r="G139" s="237">
        <v>-1316.9626349108594</v>
      </c>
      <c r="H139" s="240">
        <v>-0.0018052679179750965</v>
      </c>
      <c r="I139" s="241">
        <v>3.867789427412625</v>
      </c>
      <c r="J139" s="242">
        <v>44.259</v>
      </c>
      <c r="K139" s="242">
        <v>161.35</v>
      </c>
      <c r="L139" s="242">
        <v>7.511</v>
      </c>
      <c r="M139" s="242">
        <v>103.43</v>
      </c>
      <c r="N139" s="243">
        <v>0.0013586977876839008</v>
      </c>
      <c r="O139" s="240">
        <v>-0.005855756036229638</v>
      </c>
      <c r="P139" s="240">
        <v>-4.3559922231935683E-4</v>
      </c>
      <c r="Q139" s="240">
        <v>-0.004310440957220181</v>
      </c>
      <c r="R139" s="240">
        <v>-0.003344311664002545</v>
      </c>
    </row>
    <row r="140">
      <c r="A140" s="236">
        <v>43276.0</v>
      </c>
      <c r="B140" s="33">
        <v>-0.04375172091702508</v>
      </c>
      <c r="C140" s="33">
        <v>0.029533959593667433</v>
      </c>
      <c r="D140" s="33">
        <v>-0.014217761323357649</v>
      </c>
      <c r="E140" s="33">
        <v>-0.008079244482340323</v>
      </c>
      <c r="F140" s="237">
        <v>-4828.271036552701</v>
      </c>
      <c r="G140" s="237">
        <v>-3140.9514051518577</v>
      </c>
      <c r="H140" s="240">
        <v>-0.002634391190618899</v>
      </c>
      <c r="I140" s="241">
        <v>3.8573238742244977</v>
      </c>
      <c r="J140" s="242">
        <v>43.985</v>
      </c>
      <c r="K140" s="242">
        <v>161.07</v>
      </c>
      <c r="L140" s="242">
        <v>7.502</v>
      </c>
      <c r="M140" s="242">
        <v>103.77</v>
      </c>
      <c r="N140" s="243">
        <v>9.287874891441191E-4</v>
      </c>
      <c r="O140" s="240">
        <v>-0.007934171395535502</v>
      </c>
      <c r="P140" s="240">
        <v>-0.0010140518615095278</v>
      </c>
      <c r="Q140" s="240">
        <v>-0.0047098551497378365</v>
      </c>
      <c r="R140" s="240">
        <v>-0.002248562526099359</v>
      </c>
    </row>
    <row r="141">
      <c r="A141" s="236">
        <v>43275.0</v>
      </c>
      <c r="B141" s="33">
        <v>-0.021926560514101783</v>
      </c>
      <c r="C141" s="33">
        <v>0.029564344325759682</v>
      </c>
      <c r="D141" s="33">
        <v>0.007637783811657899</v>
      </c>
      <c r="E141" s="33">
        <v>-3.782406486574677E-4</v>
      </c>
      <c r="F141" s="237">
        <v>-229.9895858086952</v>
      </c>
      <c r="G141" s="237">
        <v>1687.319631400843</v>
      </c>
      <c r="H141" s="240">
        <v>-6.302653484955985E-4</v>
      </c>
      <c r="I141" s="241">
        <v>3.8483965014577266</v>
      </c>
      <c r="J141" s="242">
        <v>45.03</v>
      </c>
      <c r="K141" s="242">
        <v>161.56</v>
      </c>
      <c r="L141" s="242">
        <v>7.608</v>
      </c>
      <c r="M141" s="242">
        <v>104.47</v>
      </c>
      <c r="N141" s="243">
        <v>-0.001436102309366749</v>
      </c>
      <c r="O141" s="240">
        <v>-3.553035532485686E-4</v>
      </c>
      <c r="P141" s="240">
        <v>-4.126433935792336E-4</v>
      </c>
      <c r="Q141" s="240">
        <v>0.0018839817735716302</v>
      </c>
      <c r="R141" s="240">
        <v>-3.1907086563924086E-4</v>
      </c>
    </row>
    <row r="142">
      <c r="A142" s="236">
        <v>43274.0</v>
      </c>
      <c r="B142" s="33">
        <v>-0.020915942046359243</v>
      </c>
      <c r="C142" s="33">
        <v>0.02959479164226407</v>
      </c>
      <c r="D142" s="33">
        <v>0.008678849595904828</v>
      </c>
      <c r="E142" s="33">
        <v>5.54311559141094E-4</v>
      </c>
      <c r="F142" s="237">
        <v>349.1384956189265</v>
      </c>
      <c r="G142" s="237">
        <v>1917.3092172095382</v>
      </c>
      <c r="H142" s="240">
        <v>-0.0023630791615195947</v>
      </c>
      <c r="I142" s="241">
        <v>3.8520298686808</v>
      </c>
      <c r="J142" s="242">
        <v>45.03</v>
      </c>
      <c r="K142" s="242">
        <v>161.56</v>
      </c>
      <c r="L142" s="242">
        <v>7.608</v>
      </c>
      <c r="M142" s="242">
        <v>104.47</v>
      </c>
      <c r="N142" s="243">
        <v>-0.0025708930467969924</v>
      </c>
      <c r="O142" s="240">
        <v>-0.003468425992871745</v>
      </c>
      <c r="P142" s="240">
        <v>-9.278098953926506E-4</v>
      </c>
      <c r="Q142" s="240">
        <v>6.061672769865171E-4</v>
      </c>
      <c r="R142" s="240">
        <v>-0.0026460607607653084</v>
      </c>
    </row>
    <row r="143">
      <c r="A143" s="236">
        <v>43273.0</v>
      </c>
      <c r="B143" s="33">
        <v>-0.022526854751128988</v>
      </c>
      <c r="C143" s="33">
        <v>0.02962530173674063</v>
      </c>
      <c r="D143" s="33">
        <v>0.007098446985611642</v>
      </c>
      <c r="E143" s="33">
        <v>-0.002066866955970422</v>
      </c>
      <c r="F143" s="237">
        <v>-1251.2506910588531</v>
      </c>
      <c r="G143" s="237">
        <v>1568.1707215906117</v>
      </c>
      <c r="H143" s="240">
        <v>-0.002749237810633337</v>
      </c>
      <c r="I143" s="241">
        <v>3.8465750400000003</v>
      </c>
      <c r="J143" s="242">
        <v>45.032</v>
      </c>
      <c r="K143" s="242">
        <v>161.56</v>
      </c>
      <c r="L143" s="242">
        <v>7.608</v>
      </c>
      <c r="M143" s="242">
        <v>104.47</v>
      </c>
      <c r="N143" s="243">
        <v>-0.004179046298209495</v>
      </c>
      <c r="O143" s="240">
        <v>-0.00225945560848669</v>
      </c>
      <c r="P143" s="240">
        <v>-0.0018948283921932745</v>
      </c>
      <c r="Q143" s="240">
        <v>0.0015279476298967198</v>
      </c>
      <c r="R143" s="240">
        <v>-0.0029942722200878937</v>
      </c>
    </row>
    <row r="144">
      <c r="A144" s="236">
        <v>43272.0</v>
      </c>
      <c r="B144" s="33">
        <v>-0.016893544049476815</v>
      </c>
      <c r="C144" s="33">
        <v>0.02965587480354841</v>
      </c>
      <c r="D144" s="33">
        <v>0.012762330754071596</v>
      </c>
      <c r="E144" s="33">
        <v>-0.005576682087729457</v>
      </c>
      <c r="F144" s="237">
        <v>-3385.030102091831</v>
      </c>
      <c r="G144" s="237">
        <v>2819.421412649465</v>
      </c>
      <c r="H144" s="240">
        <v>5.490229481719336E-4</v>
      </c>
      <c r="I144" s="241">
        <v>3.8649627225</v>
      </c>
      <c r="J144" s="242">
        <v>45.078</v>
      </c>
      <c r="K144" s="242">
        <v>161.76</v>
      </c>
      <c r="L144" s="242">
        <v>7.565</v>
      </c>
      <c r="M144" s="242">
        <v>104.57</v>
      </c>
      <c r="N144" s="243">
        <v>-8.740255814516281E-4</v>
      </c>
      <c r="O144" s="240">
        <v>-0.0028012580412049384</v>
      </c>
      <c r="P144" s="240">
        <v>5.488342037492933E-4</v>
      </c>
      <c r="Q144" s="240">
        <v>-3.560341436749104E-4</v>
      </c>
      <c r="R144" s="240">
        <v>-0.0028965592268833293</v>
      </c>
    </row>
    <row r="145">
      <c r="A145" s="236">
        <v>43271.0</v>
      </c>
      <c r="B145" s="33">
        <v>-0.0016015777166122809</v>
      </c>
      <c r="C145" s="33">
        <v>0.029686511037849597</v>
      </c>
      <c r="D145" s="33">
        <v>0.028084933321237317</v>
      </c>
      <c r="E145" s="33">
        <v>-6.041643882001327E-4</v>
      </c>
      <c r="F145" s="237">
        <v>-216.04244143950564</v>
      </c>
      <c r="G145" s="237">
        <v>6204.451514741296</v>
      </c>
      <c r="H145" s="240">
        <v>-6.906440469635149E-6</v>
      </c>
      <c r="I145" s="241">
        <v>3.881769502</v>
      </c>
      <c r="J145" s="242">
        <v>45.499</v>
      </c>
      <c r="K145" s="242">
        <v>162.01</v>
      </c>
      <c r="L145" s="242">
        <v>7.594</v>
      </c>
      <c r="M145" s="242">
        <v>105.3</v>
      </c>
      <c r="N145" s="243">
        <v>5.754734785831846E-4</v>
      </c>
      <c r="O145" s="240">
        <v>3.118643984182379E-4</v>
      </c>
      <c r="P145" s="240">
        <v>0.0010640007055627103</v>
      </c>
      <c r="Q145" s="240">
        <v>-0.0032597417211247537</v>
      </c>
      <c r="R145" s="240">
        <v>-5.695693317572618E-4</v>
      </c>
    </row>
    <row r="146">
      <c r="A146" s="236">
        <v>43270.0</v>
      </c>
      <c r="B146" s="33">
        <v>-6.236447683138153E-4</v>
      </c>
      <c r="C146" s="33">
        <v>0.029686511037849597</v>
      </c>
      <c r="D146" s="33">
        <v>0.029062866269535782</v>
      </c>
      <c r="E146" s="33">
        <v>0.00782791532044539</v>
      </c>
      <c r="F146" s="237">
        <v>1729.3229971985656</v>
      </c>
      <c r="G146" s="237">
        <v>6420.493956180801</v>
      </c>
      <c r="H146" s="240">
        <v>9.425827338869231E-4</v>
      </c>
      <c r="I146" s="241">
        <v>3.895</v>
      </c>
      <c r="J146" s="242">
        <v>45.336</v>
      </c>
      <c r="K146" s="242">
        <v>162.48</v>
      </c>
      <c r="L146" s="242">
        <v>7.573</v>
      </c>
      <c r="M146" s="242">
        <v>105.41</v>
      </c>
      <c r="N146" s="243">
        <v>0.0016999260901699581</v>
      </c>
      <c r="O146" s="240">
        <v>-8.82301041115262E-4</v>
      </c>
      <c r="P146" s="240">
        <v>0.002031019202363328</v>
      </c>
      <c r="Q146" s="240">
        <v>-0.004181522074034937</v>
      </c>
      <c r="R146" s="240">
        <v>-2.2135787243464375E-4</v>
      </c>
    </row>
    <row r="147">
      <c r="A147" s="236">
        <v>43269.0</v>
      </c>
      <c r="B147" s="33">
        <v>-0.008482259686523266</v>
      </c>
      <c r="C147" s="33">
        <v>0.02971721063561366</v>
      </c>
      <c r="D147" s="33">
        <v>0.021234950949090392</v>
      </c>
      <c r="E147" s="33">
        <v>-0.007244470253654163</v>
      </c>
      <c r="F147" s="237">
        <v>-1600.4298078498196</v>
      </c>
      <c r="G147" s="237">
        <v>4691.170958982236</v>
      </c>
      <c r="H147" s="240">
        <v>-0.001112934126611591</v>
      </c>
      <c r="I147" s="241">
        <v>3.875</v>
      </c>
      <c r="J147" s="242">
        <v>45.456</v>
      </c>
      <c r="K147" s="242">
        <v>161.49</v>
      </c>
      <c r="L147" s="242">
        <v>7.573</v>
      </c>
      <c r="M147" s="242">
        <v>105.48</v>
      </c>
      <c r="N147" s="243">
        <v>-0.0016343510883292754</v>
      </c>
      <c r="O147" s="240">
        <v>7.626422621142731E-4</v>
      </c>
      <c r="P147" s="240">
        <v>6.192333890643618E-5</v>
      </c>
      <c r="Q147" s="240">
        <v>-0.004181522074034937</v>
      </c>
      <c r="R147" s="240">
        <v>2.2121097206423773E-4</v>
      </c>
    </row>
    <row r="148">
      <c r="A148" s="236">
        <v>43268.0</v>
      </c>
      <c r="B148" s="33">
        <v>-0.0012685525908769867</v>
      </c>
      <c r="C148" s="33">
        <v>0.02974797379362154</v>
      </c>
      <c r="D148" s="33">
        <v>0.028479421202744555</v>
      </c>
      <c r="E148" s="33">
        <v>0.002244303134869542</v>
      </c>
      <c r="F148" s="237">
        <v>495.8056985718531</v>
      </c>
      <c r="G148" s="237">
        <v>6291.600766832055</v>
      </c>
      <c r="H148" s="240">
        <v>7.250926307734995E-5</v>
      </c>
      <c r="I148" s="241">
        <v>3.875</v>
      </c>
      <c r="J148" s="242">
        <v>45.456</v>
      </c>
      <c r="K148" s="242">
        <v>161.49</v>
      </c>
      <c r="L148" s="242">
        <v>7.668</v>
      </c>
      <c r="M148" s="242">
        <v>105.48</v>
      </c>
      <c r="N148" s="243">
        <v>0.0012487715552724748</v>
      </c>
      <c r="O148" s="240">
        <v>-5.015430733358138E-4</v>
      </c>
      <c r="P148" s="240">
        <v>0.0015690045561326182</v>
      </c>
      <c r="Q148" s="240">
        <v>-5.651191097200444E-4</v>
      </c>
      <c r="R148" s="240">
        <v>-0.005945186902900196</v>
      </c>
    </row>
    <row r="149">
      <c r="A149" s="236">
        <v>43267.0</v>
      </c>
      <c r="B149" s="33">
        <v>-0.0035436826415948387</v>
      </c>
      <c r="C149" s="33">
        <v>0.029778800709469852</v>
      </c>
      <c r="D149" s="33">
        <v>0.026235118067875013</v>
      </c>
      <c r="E149" s="33">
        <v>0.0016613647389498477</v>
      </c>
      <c r="F149" s="237">
        <v>367.02444165393626</v>
      </c>
      <c r="G149" s="237">
        <v>5795.795068260202</v>
      </c>
      <c r="H149" s="240">
        <v>0.007574261214382633</v>
      </c>
      <c r="I149" s="241">
        <v>3.875</v>
      </c>
      <c r="J149" s="242">
        <v>45.456</v>
      </c>
      <c r="K149" s="242">
        <v>161.49</v>
      </c>
      <c r="L149" s="242">
        <v>7.668</v>
      </c>
      <c r="M149" s="242">
        <v>105.48</v>
      </c>
      <c r="N149" s="243">
        <v>-0.002554360435779015</v>
      </c>
      <c r="O149" s="240">
        <v>0.0024932142707757093</v>
      </c>
      <c r="P149" s="240">
        <v>0.005613053582450022</v>
      </c>
      <c r="Q149" s="240">
        <v>-0.004861434693628398</v>
      </c>
      <c r="R149" s="240">
        <v>-3.254650946537911E-4</v>
      </c>
    </row>
    <row r="150">
      <c r="A150" s="236">
        <v>43266.0</v>
      </c>
      <c r="B150" s="33">
        <v>-0.005235938252649949</v>
      </c>
      <c r="C150" s="33">
        <v>0.029809691581575114</v>
      </c>
      <c r="D150" s="33">
        <v>0.024573753328925165</v>
      </c>
      <c r="E150" s="33">
        <v>-0.00368814008458734</v>
      </c>
      <c r="F150" s="237">
        <v>-814.7744583424874</v>
      </c>
      <c r="G150" s="237">
        <v>5428.770626606266</v>
      </c>
      <c r="H150" s="240">
        <v>0.008146424046615771</v>
      </c>
      <c r="I150" s="241">
        <v>3.894</v>
      </c>
      <c r="J150" s="242">
        <v>45.352000000000004</v>
      </c>
      <c r="K150" s="242">
        <v>161.46</v>
      </c>
      <c r="L150" s="242">
        <v>7.668</v>
      </c>
      <c r="M150" s="242">
        <v>105.41</v>
      </c>
      <c r="N150" s="243">
        <v>2.5967066434708406E-4</v>
      </c>
      <c r="O150" s="240">
        <v>0.0027132459160832297</v>
      </c>
      <c r="P150" s="240">
        <v>0.006222919301779286</v>
      </c>
      <c r="Q150" s="240">
        <v>-0.0038760019601236984</v>
      </c>
      <c r="R150" s="240">
        <v>-1.9928936215463238E-4</v>
      </c>
    </row>
    <row r="151">
      <c r="A151" s="236">
        <v>43265.0</v>
      </c>
      <c r="B151" s="33">
        <v>-0.0015787531956654895</v>
      </c>
      <c r="C151" s="33">
        <v>0.029840646609177995</v>
      </c>
      <c r="D151" s="33">
        <v>0.028261893413512505</v>
      </c>
      <c r="E151" s="33">
        <v>0.02474955898878539</v>
      </c>
      <c r="F151" s="237">
        <v>5467.609162562307</v>
      </c>
      <c r="G151" s="237">
        <v>6243.545084948753</v>
      </c>
      <c r="H151" s="240">
        <v>0.010048190649341928</v>
      </c>
      <c r="I151" s="241">
        <v>3.86</v>
      </c>
      <c r="J151" s="242">
        <v>45.524</v>
      </c>
      <c r="K151" s="242">
        <v>160.73</v>
      </c>
      <c r="L151" s="242">
        <v>7.681</v>
      </c>
      <c r="M151" s="242">
        <v>107.36</v>
      </c>
      <c r="N151" s="243">
        <v>-0.0033633705882076628</v>
      </c>
      <c r="O151" s="240">
        <v>0.004585081719127767</v>
      </c>
      <c r="P151" s="240">
        <v>0.004799981296299479</v>
      </c>
      <c r="Q151" s="240">
        <v>-0.0019787527313713574</v>
      </c>
      <c r="R151" s="240">
        <v>0.005556132286203802</v>
      </c>
    </row>
    <row r="152">
      <c r="A152" s="236">
        <v>43264.0</v>
      </c>
      <c r="B152" s="33">
        <v>-0.02635933156762051</v>
      </c>
      <c r="C152" s="33">
        <v>0.029871665992347623</v>
      </c>
      <c r="D152" s="33">
        <v>0.0035123344247271135</v>
      </c>
      <c r="E152" s="33">
        <v>0.003377853235649264</v>
      </c>
      <c r="F152" s="237">
        <v>746.2266826409025</v>
      </c>
      <c r="G152" s="237">
        <v>775.935922386447</v>
      </c>
      <c r="H152" s="240">
        <v>2.708364321346521E-4</v>
      </c>
      <c r="I152" s="241">
        <v>3.904</v>
      </c>
      <c r="J152" s="242">
        <v>45.115</v>
      </c>
      <c r="K152" s="242">
        <v>158.78</v>
      </c>
      <c r="L152" s="242">
        <v>7.78</v>
      </c>
      <c r="M152" s="242">
        <v>105.55</v>
      </c>
      <c r="N152" s="243">
        <v>4.397614028438269E-4</v>
      </c>
      <c r="O152" s="240">
        <v>0.0015903243750162444</v>
      </c>
      <c r="P152" s="240">
        <v>7.559322699820753E-4</v>
      </c>
      <c r="Q152" s="240">
        <v>0.002058696686344908</v>
      </c>
      <c r="R152" s="240">
        <v>-6.35895220426029E-5</v>
      </c>
    </row>
    <row r="153">
      <c r="A153" s="236">
        <v>43263.0</v>
      </c>
      <c r="B153" s="33">
        <v>-0.02976826874290801</v>
      </c>
      <c r="C153" s="33">
        <v>0.02990274993198586</v>
      </c>
      <c r="D153" s="33">
        <v>1.344811890778494E-4</v>
      </c>
      <c r="E153" s="33">
        <v>0.002017159723591129</v>
      </c>
      <c r="F153" s="237">
        <v>445.6257581016302</v>
      </c>
      <c r="G153" s="237">
        <v>29.70923974554459</v>
      </c>
      <c r="H153" s="240">
        <v>-6.2413988698444E-4</v>
      </c>
      <c r="I153" s="241">
        <v>3.891</v>
      </c>
      <c r="J153" s="242">
        <v>44.982</v>
      </c>
      <c r="K153" s="242">
        <v>158.46</v>
      </c>
      <c r="L153" s="242">
        <v>7.757000000000001</v>
      </c>
      <c r="M153" s="242">
        <v>105.44</v>
      </c>
      <c r="N153" s="243">
        <v>-0.0015520263978050046</v>
      </c>
      <c r="O153" s="240">
        <v>0.0013203453450999927</v>
      </c>
      <c r="P153" s="240">
        <v>-0.0018937215359706584</v>
      </c>
      <c r="Q153" s="240">
        <v>0.0010732639528402085</v>
      </c>
      <c r="R153" s="240">
        <v>-8.530209994265624E-4</v>
      </c>
    </row>
    <row r="154">
      <c r="A154" s="236">
        <v>43262.0</v>
      </c>
      <c r="B154" s="33">
        <v>-0.03181657716434496</v>
      </c>
      <c r="C154" s="33">
        <v>0.02993389862983168</v>
      </c>
      <c r="D154" s="33">
        <v>-0.0018826785345132796</v>
      </c>
      <c r="E154" s="33">
        <v>-0.004582503662836437</v>
      </c>
      <c r="F154" s="237">
        <v>-1012.3549686583505</v>
      </c>
      <c r="G154" s="237">
        <v>-415.9165183560856</v>
      </c>
      <c r="H154" s="240">
        <v>0.001683242151619014</v>
      </c>
      <c r="I154" s="241">
        <v>3.899</v>
      </c>
      <c r="J154" s="242">
        <v>44.9</v>
      </c>
      <c r="K154" s="242">
        <v>158.42000000000002</v>
      </c>
      <c r="L154" s="242">
        <v>7.726</v>
      </c>
      <c r="M154" s="242">
        <v>105.57000000000001</v>
      </c>
      <c r="N154" s="243">
        <v>8.818088409903876E-4</v>
      </c>
      <c r="O154" s="240">
        <v>0.0019105045968758466</v>
      </c>
      <c r="P154" s="240">
        <v>8.877644356832427E-4</v>
      </c>
      <c r="Q154" s="240">
        <v>-7.761967404290073E-4</v>
      </c>
      <c r="R154" s="240">
        <v>0.0013868582007234489</v>
      </c>
    </row>
    <row r="155">
      <c r="A155" s="236">
        <v>43261.0</v>
      </c>
      <c r="B155" s="33">
        <v>-0.02726528716014234</v>
      </c>
      <c r="C155" s="33">
        <v>0.029965112288465497</v>
      </c>
      <c r="D155" s="33">
        <v>0.002699825128323157</v>
      </c>
      <c r="E155" s="33">
        <v>6.929242782919877E-4</v>
      </c>
      <c r="F155" s="237">
        <v>153.07905626390624</v>
      </c>
      <c r="G155" s="237">
        <v>596.4384503022649</v>
      </c>
      <c r="H155" s="240">
        <v>0.0030235700216210116</v>
      </c>
      <c r="I155" s="241">
        <v>3.899</v>
      </c>
      <c r="J155" s="242">
        <v>44.9</v>
      </c>
      <c r="K155" s="242">
        <v>158.42000000000002</v>
      </c>
      <c r="L155" s="242">
        <v>7.732</v>
      </c>
      <c r="M155" s="242">
        <v>105.57000000000001</v>
      </c>
      <c r="N155" s="243">
        <v>0.0022142538776326</v>
      </c>
      <c r="O155" s="240">
        <v>0.001843304811915156</v>
      </c>
      <c r="P155" s="240">
        <v>-5.891222871050953E-4</v>
      </c>
      <c r="Q155" s="240">
        <v>-8.186391141818465E-4</v>
      </c>
      <c r="R155" s="240">
        <v>-6.740822222449575E-4</v>
      </c>
    </row>
    <row r="156">
      <c r="A156" s="236">
        <v>43259.0</v>
      </c>
      <c r="B156" s="33">
        <v>-0.028020834452621296</v>
      </c>
      <c r="C156" s="33">
        <v>0.030027735302652465</v>
      </c>
      <c r="D156" s="33">
        <v>0.0020069008500311694</v>
      </c>
      <c r="E156" s="33">
        <v>0.00893930583940149</v>
      </c>
      <c r="F156" s="237">
        <v>1974.8485432247692</v>
      </c>
      <c r="G156" s="237">
        <v>443.35939403835863</v>
      </c>
      <c r="H156" s="240">
        <v>7.565300847937884E-5</v>
      </c>
      <c r="I156" s="241">
        <v>3.909</v>
      </c>
      <c r="J156" s="242">
        <v>44.804</v>
      </c>
      <c r="K156" s="242">
        <v>159.36</v>
      </c>
      <c r="L156" s="242">
        <v>7.732</v>
      </c>
      <c r="M156" s="242">
        <v>105.71000000000001</v>
      </c>
      <c r="N156" s="243">
        <v>-1.694763119620702E-4</v>
      </c>
      <c r="O156" s="240">
        <v>5.110034964747814E-4</v>
      </c>
      <c r="P156" s="240">
        <v>-0.002539251321815025</v>
      </c>
      <c r="Q156" s="240">
        <v>-0.0022808160375895705</v>
      </c>
      <c r="R156" s="240">
        <v>-0.0019336823728503926</v>
      </c>
    </row>
    <row r="157">
      <c r="A157" s="236">
        <v>43258.0</v>
      </c>
      <c r="B157" s="33">
        <v>-0.03699155005698372</v>
      </c>
      <c r="C157" s="33">
        <v>0.0300591450676134</v>
      </c>
      <c r="D157" s="33">
        <v>-0.006932404989370321</v>
      </c>
      <c r="E157" s="33">
        <v>-5.615200528304443E-4</v>
      </c>
      <c r="F157" s="237">
        <v>-124.04957143718707</v>
      </c>
      <c r="G157" s="237">
        <v>-1531.4891491864105</v>
      </c>
      <c r="H157" s="240">
        <v>-0.005479111998376213</v>
      </c>
      <c r="I157" s="241">
        <v>3.889</v>
      </c>
      <c r="J157" s="242">
        <v>44.643</v>
      </c>
      <c r="K157" s="242">
        <v>157.99</v>
      </c>
      <c r="L157" s="242">
        <v>7.744</v>
      </c>
      <c r="M157" s="242">
        <v>105.13</v>
      </c>
      <c r="N157" s="243">
        <v>-0.003041249243335702</v>
      </c>
      <c r="O157" s="240">
        <v>-3.216931496121172E-4</v>
      </c>
      <c r="P157" s="240">
        <v>-0.004719778362714029</v>
      </c>
      <c r="Q157" s="240">
        <v>-0.0017634854633526518</v>
      </c>
      <c r="R157" s="240">
        <v>-0.002727972855799978</v>
      </c>
    </row>
    <row r="158">
      <c r="A158" s="236">
        <v>43257.0</v>
      </c>
      <c r="B158" s="33">
        <v>-0.036461505548726694</v>
      </c>
      <c r="C158" s="33">
        <v>0.030090620612186817</v>
      </c>
      <c r="D158" s="33">
        <v>-0.006370884936539877</v>
      </c>
      <c r="E158" s="33">
        <v>-0.00815082676113291</v>
      </c>
      <c r="F158" s="237">
        <v>-1800.6597653647905</v>
      </c>
      <c r="G158" s="237">
        <v>-1407.4395777492234</v>
      </c>
      <c r="H158" s="240">
        <v>-0.007766645910826714</v>
      </c>
      <c r="I158" s="241">
        <v>3.873</v>
      </c>
      <c r="J158" s="242">
        <v>44.652</v>
      </c>
      <c r="K158" s="242">
        <v>158.69</v>
      </c>
      <c r="L158" s="242">
        <v>7.751</v>
      </c>
      <c r="M158" s="242">
        <v>105.78</v>
      </c>
      <c r="N158" s="243">
        <v>-0.004373694279977915</v>
      </c>
      <c r="O158" s="240">
        <v>-2.5449336465142646E-4</v>
      </c>
      <c r="P158" s="240">
        <v>-0.0032428916399256918</v>
      </c>
      <c r="Q158" s="240">
        <v>-0.0013337247718341804</v>
      </c>
      <c r="R158" s="240">
        <v>-6.670324328315716E-4</v>
      </c>
    </row>
    <row r="159">
      <c r="A159" s="236">
        <v>43256.0</v>
      </c>
      <c r="B159" s="33">
        <v>-0.02834222031863381</v>
      </c>
      <c r="C159" s="33">
        <v>0.030122162143226845</v>
      </c>
      <c r="D159" s="33">
        <v>0.001779941824593033</v>
      </c>
      <c r="E159" s="33">
        <v>-0.007724989181165286</v>
      </c>
      <c r="F159" s="237">
        <v>-1706.5848182091925</v>
      </c>
      <c r="G159" s="237">
        <v>393.22018761556706</v>
      </c>
      <c r="H159" s="240">
        <v>-0.0049826906220849605</v>
      </c>
      <c r="I159" s="241">
        <v>3.91</v>
      </c>
      <c r="J159" s="242">
        <v>44.735</v>
      </c>
      <c r="K159" s="242">
        <v>160.56</v>
      </c>
      <c r="L159" s="242">
        <v>7.785</v>
      </c>
      <c r="M159" s="242">
        <v>106.32000000000001</v>
      </c>
      <c r="N159" s="243">
        <v>-0.0019114243766485892</v>
      </c>
      <c r="O159" s="240">
        <v>0.0014616533767341396</v>
      </c>
      <c r="P159" s="240">
        <v>-5.006932765838387E-4</v>
      </c>
      <c r="Q159" s="240">
        <v>1.284521515735437E-4</v>
      </c>
      <c r="R159" s="240">
        <v>-4.435143767200964E-4</v>
      </c>
    </row>
    <row r="160">
      <c r="A160" s="236">
        <v>43255.0</v>
      </c>
      <c r="B160" s="33">
        <v>-0.0171110087612281</v>
      </c>
      <c r="C160" s="33">
        <v>0.0304159397669864</v>
      </c>
      <c r="D160" s="33">
        <v>0.009504931005758319</v>
      </c>
      <c r="E160" s="33">
        <v>-0.0074241217901819465</v>
      </c>
      <c r="F160" s="237">
        <v>-1640.1179650259855</v>
      </c>
      <c r="G160" s="237">
        <v>2099.8050058247595</v>
      </c>
      <c r="H160" s="240">
        <v>-0.0040975216718091</v>
      </c>
      <c r="I160" s="241">
        <v>3.924</v>
      </c>
      <c r="J160" s="242">
        <v>44.686</v>
      </c>
      <c r="K160" s="242">
        <v>160.23</v>
      </c>
      <c r="L160" s="242">
        <v>7.785</v>
      </c>
      <c r="M160" s="242">
        <v>105.99000000000001</v>
      </c>
      <c r="N160" s="243">
        <v>-0.0033686141884242842</v>
      </c>
      <c r="O160" s="240">
        <v>0.0030424004859125314</v>
      </c>
      <c r="P160" s="240">
        <v>-0.002616143677791573</v>
      </c>
      <c r="Q160" s="240">
        <v>-0.002998421831121582</v>
      </c>
      <c r="R160" s="240">
        <v>-0.003074970752341735</v>
      </c>
    </row>
    <row r="161">
      <c r="A161" s="236">
        <v>43253.0</v>
      </c>
      <c r="B161" s="33">
        <v>-0.01742986699087433</v>
      </c>
      <c r="C161" s="33">
        <v>0.0305159397669864</v>
      </c>
      <c r="D161" s="33">
        <v>0.016929052795940265</v>
      </c>
      <c r="E161" s="33">
        <v>2.0103910509235157E-4</v>
      </c>
      <c r="F161" s="237">
        <v>44.413044027747674</v>
      </c>
      <c r="G161" s="237">
        <v>3739.922970850745</v>
      </c>
      <c r="H161" s="240">
        <v>-1.770104264699618E-4</v>
      </c>
      <c r="I161" s="241">
        <v>3.924</v>
      </c>
      <c r="J161" s="242">
        <v>44.686</v>
      </c>
      <c r="K161" s="242">
        <v>160.23</v>
      </c>
      <c r="L161" s="242">
        <v>7.782</v>
      </c>
      <c r="M161" s="242">
        <v>105.99000000000001</v>
      </c>
      <c r="N161" s="243">
        <v>-0.001407829874698813</v>
      </c>
      <c r="O161" s="240">
        <v>0.0023874624791825074</v>
      </c>
      <c r="P161" s="240">
        <v>-0.002451014774041057</v>
      </c>
      <c r="Q161" s="240">
        <v>-0.004060461930923403</v>
      </c>
      <c r="R161" s="240">
        <v>-0.0026698727497865156</v>
      </c>
    </row>
    <row r="162">
      <c r="A162" s="236">
        <v>43252.0</v>
      </c>
      <c r="B162" s="33">
        <v>-0.017667111490894838</v>
      </c>
      <c r="C162" s="33">
        <v>0.0306159397669864</v>
      </c>
      <c r="D162" s="33">
        <v>0.016728013690847914</v>
      </c>
      <c r="E162" s="33">
        <v>-0.0048475590530868695</v>
      </c>
      <c r="F162" s="237">
        <v>-1070.9103263912489</v>
      </c>
      <c r="G162" s="237">
        <v>3695.5099268229974</v>
      </c>
      <c r="H162" s="240">
        <v>-0.004416380592051537</v>
      </c>
      <c r="I162" s="241">
        <v>3.933</v>
      </c>
      <c r="J162" s="242">
        <v>44.539</v>
      </c>
      <c r="K162" s="242">
        <v>160.8</v>
      </c>
      <c r="L162" s="242">
        <v>7.782</v>
      </c>
      <c r="M162" s="242">
        <v>106.46000000000001</v>
      </c>
      <c r="N162" s="243">
        <v>1.2930310654750565E-4</v>
      </c>
      <c r="O162" s="240">
        <v>4.3441043250494574E-4</v>
      </c>
      <c r="P162" s="240">
        <v>-0.004982461161535489</v>
      </c>
      <c r="Q162" s="240">
        <v>-0.004060461930923403</v>
      </c>
      <c r="R162" s="240">
        <v>-0.004748466211936614</v>
      </c>
    </row>
    <row r="163">
      <c r="A163" s="236">
        <v>43251.0</v>
      </c>
      <c r="B163" s="33">
        <v>-0.0090903324020164</v>
      </c>
      <c r="C163" s="33">
        <v>0.030665905145951182</v>
      </c>
      <c r="D163" s="33">
        <v>0.021575572743934783</v>
      </c>
      <c r="E163" s="33">
        <v>0.004115488668584633</v>
      </c>
      <c r="F163" s="237">
        <v>909.1832126370746</v>
      </c>
      <c r="G163" s="237">
        <v>4766.420253214246</v>
      </c>
      <c r="H163" s="240">
        <v>0.0025929103099280822</v>
      </c>
      <c r="I163" s="241">
        <v>3.964</v>
      </c>
      <c r="J163" s="242">
        <v>44.279</v>
      </c>
      <c r="K163" s="242">
        <v>161.49</v>
      </c>
      <c r="L163" s="242">
        <v>7.855</v>
      </c>
      <c r="M163" s="242">
        <v>106.97</v>
      </c>
      <c r="N163" s="243">
        <v>0.0027643492198544373</v>
      </c>
      <c r="O163" s="240">
        <v>-0.0020585121000767587</v>
      </c>
      <c r="P163" s="240">
        <v>4.243808465129751E-5</v>
      </c>
      <c r="Q163" s="240">
        <v>-0.0017799338497982685</v>
      </c>
      <c r="R163" s="240">
        <v>-2.8910803822797724E-6</v>
      </c>
    </row>
    <row r="164">
      <c r="A164" s="236">
        <v>43250.0</v>
      </c>
      <c r="B164" s="33">
        <v>-0.013238203230206047</v>
      </c>
      <c r="C164" s="33">
        <v>0.030698287305556196</v>
      </c>
      <c r="D164" s="33">
        <v>0.01746008407535015</v>
      </c>
      <c r="E164" s="33">
        <v>-0.012517071391652375</v>
      </c>
      <c r="F164" s="237">
        <v>-2765.2393426669187</v>
      </c>
      <c r="G164" s="237">
        <v>3857.2370405771717</v>
      </c>
      <c r="H164" s="240">
        <v>0.0027584162267230692</v>
      </c>
      <c r="I164" s="241">
        <v>3.941</v>
      </c>
      <c r="J164" s="242">
        <v>44.366</v>
      </c>
      <c r="K164" s="242">
        <v>161.41</v>
      </c>
      <c r="L164" s="242">
        <v>7.877</v>
      </c>
      <c r="M164" s="242">
        <v>106.84</v>
      </c>
      <c r="N164" s="243">
        <v>8.035649061289661E-4</v>
      </c>
      <c r="O164" s="240">
        <v>-0.001403574093346735</v>
      </c>
      <c r="P164" s="240">
        <v>-1.226908190992184E-4</v>
      </c>
      <c r="Q164" s="240">
        <v>-8.463459015699912E-4</v>
      </c>
      <c r="R164" s="240">
        <v>-4.0798908293749925E-4</v>
      </c>
    </row>
    <row r="165">
      <c r="A165" s="236">
        <v>43249.0</v>
      </c>
      <c r="B165" s="33">
        <v>-7.535824593840699E-4</v>
      </c>
      <c r="C165" s="33">
        <v>0.030730737926386593</v>
      </c>
      <c r="D165" s="33">
        <v>0.029977155467002525</v>
      </c>
      <c r="E165" s="33">
        <v>0.01618031365285199</v>
      </c>
      <c r="F165" s="237">
        <v>3574.513437655689</v>
      </c>
      <c r="G165" s="237">
        <v>6622.47638324409</v>
      </c>
      <c r="H165" s="240">
        <v>0.01181708515114964</v>
      </c>
      <c r="I165" s="241">
        <v>3.931</v>
      </c>
      <c r="J165" s="242">
        <v>44.480000000000004</v>
      </c>
      <c r="K165" s="242">
        <v>163.21</v>
      </c>
      <c r="L165" s="242">
        <v>7.877</v>
      </c>
      <c r="M165" s="242">
        <v>107.98</v>
      </c>
      <c r="N165" s="243">
        <v>0.004759812536613974</v>
      </c>
      <c r="O165" s="240">
        <v>0.0028197142979172834</v>
      </c>
      <c r="P165" s="240">
        <v>0.008487706763262307</v>
      </c>
      <c r="Q165" s="240">
        <v>-8.463459015699912E-4</v>
      </c>
      <c r="R165" s="240">
        <v>0.004332974577367342</v>
      </c>
    </row>
    <row r="166">
      <c r="A166" s="236">
        <v>43248.0</v>
      </c>
      <c r="B166" s="33">
        <v>-0.01696641541162906</v>
      </c>
      <c r="C166" s="33">
        <v>0.030763257225779595</v>
      </c>
      <c r="D166" s="33">
        <v>0.013796841814150536</v>
      </c>
      <c r="E166" s="33">
        <v>0.0046120064189695935</v>
      </c>
      <c r="F166" s="237">
        <v>1018.872641956189</v>
      </c>
      <c r="G166" s="237">
        <v>3047.9629455884015</v>
      </c>
      <c r="H166" s="240">
        <v>0.008077719110947254</v>
      </c>
      <c r="I166" s="241">
        <v>3.931</v>
      </c>
      <c r="J166" s="242">
        <v>44.553000000000004</v>
      </c>
      <c r="K166" s="242">
        <v>161.45000000000002</v>
      </c>
      <c r="L166" s="242">
        <v>7.897</v>
      </c>
      <c r="M166" s="242">
        <v>106.96000000000001</v>
      </c>
      <c r="N166" s="243">
        <v>0.0067656070541089785</v>
      </c>
      <c r="O166" s="240">
        <v>0.003056895989880928</v>
      </c>
      <c r="P166" s="240">
        <v>0.005375093584850835</v>
      </c>
      <c r="Q166" s="240">
        <v>-8.864125617322995E-4</v>
      </c>
      <c r="R166" s="240">
        <v>0.00359244999875789</v>
      </c>
    </row>
    <row r="167">
      <c r="A167" s="236">
        <v>43246.0</v>
      </c>
      <c r="B167" s="33">
        <v>-0.021643667339030847</v>
      </c>
      <c r="C167" s="33">
        <v>0.03082850273421179</v>
      </c>
      <c r="D167" s="33">
        <v>0.009184835395180942</v>
      </c>
      <c r="E167" s="33">
        <v>0.014658935381627339</v>
      </c>
      <c r="F167" s="237">
        <v>3238.4144478013513</v>
      </c>
      <c r="G167" s="237">
        <v>2029.0903036322125</v>
      </c>
      <c r="H167" s="240">
        <v>0.011672663503725622</v>
      </c>
      <c r="I167" s="241">
        <v>3.931</v>
      </c>
      <c r="J167" s="242">
        <v>44.553000000000004</v>
      </c>
      <c r="K167" s="242">
        <v>161.45000000000002</v>
      </c>
      <c r="L167" s="242">
        <v>7.897</v>
      </c>
      <c r="M167" s="242">
        <v>106.96000000000001</v>
      </c>
      <c r="N167" s="243">
        <v>0.010054097338114937</v>
      </c>
      <c r="O167" s="240">
        <v>0.0027095479169076332</v>
      </c>
      <c r="P167" s="240">
        <v>0.009383067564496196</v>
      </c>
      <c r="Q167" s="240">
        <v>-8.864125617322995E-4</v>
      </c>
      <c r="R167" s="240">
        <v>0.006207199707355056</v>
      </c>
    </row>
    <row r="168">
      <c r="A168" s="236">
        <v>43244.0</v>
      </c>
      <c r="B168" s="33">
        <v>-0.03636812557450348</v>
      </c>
      <c r="C168" s="33">
        <v>0.030894025588057084</v>
      </c>
      <c r="D168" s="33">
        <v>-0.005474099986446396</v>
      </c>
      <c r="E168" s="33">
        <v>0.0049622155322448305</v>
      </c>
      <c r="F168" s="237">
        <v>1096.2399420128954</v>
      </c>
      <c r="G168" s="237">
        <v>-1209.324144169139</v>
      </c>
      <c r="H168" s="240">
        <v>0.006305680253432702</v>
      </c>
      <c r="I168" s="241">
        <v>3.875</v>
      </c>
      <c r="J168" s="242">
        <v>44.103</v>
      </c>
      <c r="K168" s="242">
        <v>159.08</v>
      </c>
      <c r="L168" s="242">
        <v>7.897</v>
      </c>
      <c r="M168" s="242">
        <v>106.58</v>
      </c>
      <c r="N168" s="243">
        <v>0.004388487700051718</v>
      </c>
      <c r="O168" s="240">
        <v>-9.148987618503087E-5</v>
      </c>
      <c r="P168" s="240">
        <v>0.0034279348123750584</v>
      </c>
      <c r="Q168" s="240">
        <v>8.184541587145933E-5</v>
      </c>
      <c r="R168" s="240">
        <v>0.0047689397384250475</v>
      </c>
    </row>
    <row r="169">
      <c r="A169" s="236">
        <v>43243.0</v>
      </c>
      <c r="B169" s="33">
        <v>-0.04136320709141646</v>
      </c>
      <c r="C169" s="33">
        <v>0.03092689157272523</v>
      </c>
      <c r="D169" s="33">
        <v>-0.010436315518691227</v>
      </c>
      <c r="E169" s="33">
        <v>0.015396839597304698</v>
      </c>
      <c r="F169" s="237">
        <v>3401.4303565922532</v>
      </c>
      <c r="G169" s="237">
        <v>-2305.5640861820343</v>
      </c>
      <c r="H169" s="240">
        <v>0.007349991634463814</v>
      </c>
      <c r="I169" s="241">
        <v>3.852</v>
      </c>
      <c r="J169" s="242">
        <v>44.144</v>
      </c>
      <c r="K169" s="242">
        <v>158.85</v>
      </c>
      <c r="L169" s="242">
        <v>7.918</v>
      </c>
      <c r="M169" s="242">
        <v>105.81</v>
      </c>
      <c r="N169" s="243">
        <v>0.0023826931825567136</v>
      </c>
      <c r="O169" s="240">
        <v>2.183907819712307E-4</v>
      </c>
      <c r="P169" s="240">
        <v>0.002945997003306208</v>
      </c>
      <c r="Q169" s="240">
        <v>0.003712610943616019</v>
      </c>
      <c r="R169" s="240">
        <v>0.002360733070507376</v>
      </c>
    </row>
    <row r="170">
      <c r="A170" s="236">
        <v>43242.0</v>
      </c>
      <c r="B170" s="33">
        <v>-0.05679298267548657</v>
      </c>
      <c r="C170" s="33">
        <v>0.030959827559490644</v>
      </c>
      <c r="D170" s="33">
        <v>-0.025833155115995925</v>
      </c>
      <c r="E170" s="33">
        <v>-0.001442014369251423</v>
      </c>
      <c r="F170" s="237">
        <v>-318.56611996351876</v>
      </c>
      <c r="G170" s="237">
        <v>-5706.994442774288</v>
      </c>
      <c r="H170" s="240">
        <v>0.0026903790540420114</v>
      </c>
      <c r="I170" s="241">
        <v>3.814</v>
      </c>
      <c r="J170" s="242">
        <v>44.19</v>
      </c>
      <c r="K170" s="242">
        <v>156.94</v>
      </c>
      <c r="L170" s="242">
        <v>7.918</v>
      </c>
      <c r="M170" s="242">
        <v>104.98</v>
      </c>
      <c r="N170" s="243">
        <v>-9.05797101449245E-4</v>
      </c>
      <c r="O170" s="240">
        <v>5.657388549445255E-4</v>
      </c>
      <c r="P170" s="240">
        <v>-0.001061976976339153</v>
      </c>
      <c r="Q170" s="240">
        <v>0.003712610943616019</v>
      </c>
      <c r="R170" s="240">
        <v>-2.540166380897894E-4</v>
      </c>
    </row>
    <row r="171">
      <c r="A171" s="236">
        <v>43241.0</v>
      </c>
      <c r="B171" s="33">
        <v>-0.055383974518985135</v>
      </c>
      <c r="C171" s="33">
        <v>0.030992833772240633</v>
      </c>
      <c r="D171" s="33">
        <v>-0.0243911407467445</v>
      </c>
      <c r="E171" s="33">
        <v>0.008095149675338167</v>
      </c>
      <c r="F171" s="237">
        <v>1788.3597262176672</v>
      </c>
      <c r="G171" s="237">
        <v>-5388.428322810769</v>
      </c>
      <c r="H171" s="240">
        <v>0.0031032494351093225</v>
      </c>
      <c r="I171" s="241">
        <v>3.824</v>
      </c>
      <c r="J171" s="242">
        <v>44.115</v>
      </c>
      <c r="K171" s="242">
        <v>157.44</v>
      </c>
      <c r="L171" s="242">
        <v>7.8950000000000005</v>
      </c>
      <c r="M171" s="242">
        <v>105.06</v>
      </c>
      <c r="N171" s="243">
        <v>0.0012797350195723784</v>
      </c>
      <c r="O171" s="240">
        <v>0.0016245419169594877</v>
      </c>
      <c r="P171" s="240">
        <v>5.928184281842843E-4</v>
      </c>
      <c r="Q171" s="240">
        <v>0.0027443529660122605</v>
      </c>
      <c r="R171" s="240">
        <v>-1.9036740909956934E-4</v>
      </c>
    </row>
    <row r="172">
      <c r="A172" s="236">
        <v>43240.0</v>
      </c>
      <c r="B172" s="33">
        <v>-0.06351220085790094</v>
      </c>
      <c r="C172" s="33">
        <v>0.031025910435818267</v>
      </c>
      <c r="D172" s="33">
        <v>-0.03248629042208267</v>
      </c>
      <c r="E172" s="33">
        <v>0.0014180018560392901</v>
      </c>
      <c r="F172" s="237">
        <v>313.2613370655972</v>
      </c>
      <c r="G172" s="237">
        <v>-7176.788049028436</v>
      </c>
      <c r="H172" s="240">
        <v>0.0023182122875740597</v>
      </c>
      <c r="I172" s="241">
        <v>3.824</v>
      </c>
      <c r="J172" s="242">
        <v>44.115</v>
      </c>
      <c r="K172" s="242">
        <v>157.44</v>
      </c>
      <c r="L172" s="242">
        <v>7.83</v>
      </c>
      <c r="M172" s="242">
        <v>105.06</v>
      </c>
      <c r="N172" s="243">
        <v>0.0026399707937732916</v>
      </c>
      <c r="O172" s="240">
        <v>9.107985608471019E-4</v>
      </c>
      <c r="P172" s="240">
        <v>0.0022471834065502833</v>
      </c>
      <c r="Q172" s="240">
        <v>6.385696040868318E-4</v>
      </c>
      <c r="R172" s="240">
        <v>0.001236573230169846</v>
      </c>
    </row>
    <row r="173">
      <c r="A173" s="236">
        <v>43239.0</v>
      </c>
      <c r="B173" s="33">
        <v>-0.06496335005414944</v>
      </c>
      <c r="C173" s="33">
        <v>0.03105905777602748</v>
      </c>
      <c r="D173" s="33">
        <v>-0.03390429227812196</v>
      </c>
      <c r="E173" s="33">
        <v>-2.0340322604948946E-4</v>
      </c>
      <c r="F173" s="237">
        <v>-44.935319572638036</v>
      </c>
      <c r="G173" s="237">
        <v>-7490.049386094033</v>
      </c>
      <c r="H173" s="240">
        <v>4.1175760409080153E-4</v>
      </c>
      <c r="I173" s="241">
        <v>3.824</v>
      </c>
      <c r="J173" s="242">
        <v>44.115</v>
      </c>
      <c r="K173" s="242">
        <v>157.44</v>
      </c>
      <c r="L173" s="242">
        <v>7.83</v>
      </c>
      <c r="M173" s="242">
        <v>105.06</v>
      </c>
      <c r="N173" s="243">
        <v>0.001122404969355617</v>
      </c>
      <c r="O173" s="240">
        <v>0.002297351272580519</v>
      </c>
      <c r="P173" s="240">
        <v>-0.002207776733280052</v>
      </c>
      <c r="Q173" s="240">
        <v>0.0014916299581068982</v>
      </c>
      <c r="R173" s="240">
        <v>0.001077342632418191</v>
      </c>
    </row>
    <row r="174">
      <c r="A174" s="236">
        <v>43238.0</v>
      </c>
      <c r="B174" s="33">
        <v>-0.062075197856825234</v>
      </c>
      <c r="C174" s="33">
        <v>0.02837430880475277</v>
      </c>
      <c r="D174" s="33">
        <v>-0.03370088905207247</v>
      </c>
      <c r="E174" s="33">
        <v>0.005740038232732378</v>
      </c>
      <c r="F174" s="237">
        <v>1268.0745401955028</v>
      </c>
      <c r="G174" s="237">
        <v>-7445.114066521395</v>
      </c>
      <c r="H174" s="240">
        <v>0.0029099060260972067</v>
      </c>
      <c r="I174" s="241">
        <v>3.809</v>
      </c>
      <c r="J174" s="242">
        <v>43.9</v>
      </c>
      <c r="K174" s="242">
        <v>157.16</v>
      </c>
      <c r="L174" s="242">
        <v>7.83</v>
      </c>
      <c r="M174" s="242">
        <v>105.12</v>
      </c>
      <c r="N174" s="243">
        <v>-0.0013658805449671442</v>
      </c>
      <c r="O174" s="240">
        <v>0.0035107572073781817</v>
      </c>
      <c r="P174" s="240">
        <v>-0.001370250827100299</v>
      </c>
      <c r="Q174" s="240">
        <v>0.0036297526863514917</v>
      </c>
      <c r="R174" s="240">
        <v>0.0020316519819302725</v>
      </c>
    </row>
    <row r="175">
      <c r="A175" s="236">
        <v>43237.0</v>
      </c>
      <c r="B175" s="33">
        <v>-0.06784561543517298</v>
      </c>
      <c r="C175" s="33">
        <v>0.028404688150368135</v>
      </c>
      <c r="D175" s="33">
        <v>-0.03944092728480485</v>
      </c>
      <c r="E175" s="33">
        <v>-0.004301362194410484</v>
      </c>
      <c r="F175" s="237">
        <v>-950.2459157480143</v>
      </c>
      <c r="G175" s="237">
        <v>-8713.188606716898</v>
      </c>
      <c r="H175" s="240">
        <v>6.392723063428316E-4</v>
      </c>
      <c r="I175" s="241">
        <v>3.794</v>
      </c>
      <c r="J175" s="242">
        <v>43.994</v>
      </c>
      <c r="K175" s="242">
        <v>156.38</v>
      </c>
      <c r="L175" s="242">
        <v>7.815</v>
      </c>
      <c r="M175" s="242">
        <v>104.67</v>
      </c>
      <c r="N175" s="243">
        <v>-0.006865500679821301</v>
      </c>
      <c r="O175" s="240">
        <v>0.003978939840928168</v>
      </c>
      <c r="P175" s="240">
        <v>-0.001482481745428717</v>
      </c>
      <c r="Q175" s="240">
        <v>0.005358301653385802</v>
      </c>
      <c r="R175" s="240">
        <v>-0.00268140402232128</v>
      </c>
    </row>
    <row r="176">
      <c r="A176" s="236">
        <v>43236.0</v>
      </c>
      <c r="B176" s="33">
        <v>-0.06357469770823342</v>
      </c>
      <c r="C176" s="33">
        <v>0.028435132617839053</v>
      </c>
      <c r="D176" s="33">
        <v>-0.03513956509039436</v>
      </c>
      <c r="E176" s="33">
        <v>0.0072910420399697265</v>
      </c>
      <c r="F176" s="237">
        <v>1610.7183275640991</v>
      </c>
      <c r="G176" s="237">
        <v>-7762.942690968884</v>
      </c>
      <c r="H176" s="240">
        <v>7.61172774323117E-4</v>
      </c>
      <c r="I176" s="241">
        <v>3.811</v>
      </c>
      <c r="J176" s="242">
        <v>43.811</v>
      </c>
      <c r="K176" s="242">
        <v>158.47</v>
      </c>
      <c r="L176" s="242">
        <v>7.795</v>
      </c>
      <c r="M176" s="242">
        <v>104.72</v>
      </c>
      <c r="N176" s="243">
        <v>-0.005347934855403628</v>
      </c>
      <c r="O176" s="240">
        <v>0.0025923871291947515</v>
      </c>
      <c r="P176" s="240">
        <v>0.0029724783944016183</v>
      </c>
      <c r="Q176" s="240">
        <v>0.006022363102573369</v>
      </c>
      <c r="R176" s="240">
        <v>-0.002522173424569625</v>
      </c>
    </row>
    <row r="177">
      <c r="A177" s="236">
        <v>43235.0</v>
      </c>
      <c r="B177" s="33">
        <v>-0.07089624954714932</v>
      </c>
      <c r="C177" s="33">
        <v>0.028465642416785234</v>
      </c>
      <c r="D177" s="33">
        <v>-0.04243060713036409</v>
      </c>
      <c r="E177" s="33">
        <v>-0.0010718629265307478</v>
      </c>
      <c r="F177" s="237">
        <v>-236.79321157867525</v>
      </c>
      <c r="G177" s="237">
        <v>-9373.661018532983</v>
      </c>
      <c r="H177" s="240">
        <v>-0.00174604380645525</v>
      </c>
      <c r="I177" s="241">
        <v>3.825</v>
      </c>
      <c r="J177" s="242">
        <v>43.438</v>
      </c>
      <c r="K177" s="242">
        <v>157.79</v>
      </c>
      <c r="L177" s="242">
        <v>7.745</v>
      </c>
      <c r="M177" s="242">
        <v>104.48</v>
      </c>
      <c r="N177" s="243">
        <v>-0.0045854146907156924</v>
      </c>
      <c r="O177" s="240">
        <v>6.11642218436982E-5</v>
      </c>
      <c r="P177" s="240">
        <v>-1.1328425143574371E-4</v>
      </c>
      <c r="Q177" s="240">
        <v>0.0038842403743287756</v>
      </c>
      <c r="R177" s="240">
        <v>-0.004770966721883534</v>
      </c>
    </row>
    <row r="178">
      <c r="A178" s="236">
        <v>43234.0</v>
      </c>
      <c r="B178" s="33">
        <v>-0.06985496196156034</v>
      </c>
      <c r="C178" s="33">
        <v>0.028496217757727</v>
      </c>
      <c r="D178" s="33">
        <v>-0.04135874420383334</v>
      </c>
      <c r="E178" s="33">
        <v>-0.003935660790469628</v>
      </c>
      <c r="F178" s="237">
        <v>-869.4560985292519</v>
      </c>
      <c r="G178" s="237">
        <v>-9136.867806954308</v>
      </c>
      <c r="H178" s="240">
        <v>-0.00673214295143812</v>
      </c>
      <c r="I178" s="241">
        <v>3.872</v>
      </c>
      <c r="J178" s="242">
        <v>43.47</v>
      </c>
      <c r="K178" s="242">
        <v>157.06</v>
      </c>
      <c r="L178" s="242">
        <v>7.69</v>
      </c>
      <c r="M178" s="242">
        <v>105.51</v>
      </c>
      <c r="N178" s="243">
        <v>8.160335155203653E-4</v>
      </c>
      <c r="O178" s="240">
        <v>6.29082761583176E-4</v>
      </c>
      <c r="P178" s="240">
        <v>-0.002500155598177172</v>
      </c>
      <c r="Q178" s="240">
        <v>-5.730153620438364E-4</v>
      </c>
      <c r="R178" s="240">
        <v>-0.0019880909618582954</v>
      </c>
    </row>
    <row r="179">
      <c r="A179" s="236">
        <v>43232.0</v>
      </c>
      <c r="B179" s="33">
        <v>-0.06598064932557451</v>
      </c>
      <c r="C179" s="33">
        <v>0.028557565912210803</v>
      </c>
      <c r="D179" s="33">
        <v>-0.037423083413363714</v>
      </c>
      <c r="E179" s="33">
        <v>-2.3060770236537492E-4</v>
      </c>
      <c r="F179" s="237">
        <v>-50.94526278151898</v>
      </c>
      <c r="G179" s="237">
        <v>-8267.411708425056</v>
      </c>
      <c r="H179" s="240">
        <v>-0.004795521799240059</v>
      </c>
      <c r="I179" s="241">
        <v>3.872</v>
      </c>
      <c r="J179" s="242">
        <v>43.47</v>
      </c>
      <c r="K179" s="242">
        <v>157.06</v>
      </c>
      <c r="L179" s="242">
        <v>7.655</v>
      </c>
      <c r="M179" s="242">
        <v>105.51</v>
      </c>
      <c r="N179" s="243">
        <v>0.0017102879309014729</v>
      </c>
      <c r="O179" s="240">
        <v>0.004109307708573096</v>
      </c>
      <c r="P179" s="240">
        <v>-0.003321692504142765</v>
      </c>
      <c r="Q179" s="240">
        <v>-0.0019603176144271125</v>
      </c>
      <c r="R179" s="240">
        <v>-0.0019880909618582954</v>
      </c>
    </row>
    <row r="180">
      <c r="A180" s="236">
        <v>43231.0</v>
      </c>
      <c r="B180" s="33">
        <v>-0.06578081486233868</v>
      </c>
      <c r="C180" s="33">
        <v>0.02858833915134034</v>
      </c>
      <c r="D180" s="33">
        <v>-0.03719247571099834</v>
      </c>
      <c r="E180" s="33">
        <v>-0.01603016036147936</v>
      </c>
      <c r="F180" s="237">
        <v>-3541.341957223658</v>
      </c>
      <c r="G180" s="237">
        <v>-8216.466445643537</v>
      </c>
      <c r="H180" s="240">
        <v>-0.0037153128885501242</v>
      </c>
      <c r="I180" s="241">
        <v>3.878</v>
      </c>
      <c r="J180" s="242">
        <v>43.43</v>
      </c>
      <c r="K180" s="242">
        <v>157.84</v>
      </c>
      <c r="L180" s="242">
        <v>7.655</v>
      </c>
      <c r="M180" s="242">
        <v>105.98</v>
      </c>
      <c r="N180" s="243">
        <v>0.0013343799810565816</v>
      </c>
      <c r="O180" s="240">
        <v>0.0051612256739919605</v>
      </c>
      <c r="P180" s="240">
        <v>-0.0019184333050693738</v>
      </c>
      <c r="Q180" s="240">
        <v>0.0019357862816767775</v>
      </c>
      <c r="R180" s="240">
        <v>0.0010984185823429094</v>
      </c>
    </row>
    <row r="181">
      <c r="A181" s="236">
        <v>43230.0</v>
      </c>
      <c r="B181" s="33">
        <v>-0.03688746229525589</v>
      </c>
      <c r="C181" s="33">
        <v>0.01572514694573691</v>
      </c>
      <c r="D181" s="33">
        <v>-0.02116231534951898</v>
      </c>
      <c r="E181" s="33">
        <v>0.0018742026661245567</v>
      </c>
      <c r="F181" s="237">
        <v>414.0440512271216</v>
      </c>
      <c r="G181" s="237">
        <v>-4675.124488419879</v>
      </c>
      <c r="H181" s="240">
        <v>2.62862271882799E-4</v>
      </c>
      <c r="I181" s="241">
        <v>3.863</v>
      </c>
      <c r="J181" s="242">
        <v>43.388</v>
      </c>
      <c r="K181" s="242">
        <v>158.24</v>
      </c>
      <c r="L181" s="242">
        <v>7.703</v>
      </c>
      <c r="M181" s="242">
        <v>106.14</v>
      </c>
      <c r="N181" s="243">
        <v>7.231613547376784E-5</v>
      </c>
      <c r="O181" s="240">
        <v>0.005532662680637759</v>
      </c>
      <c r="P181" s="240">
        <v>-2.8298766332625637E-6</v>
      </c>
      <c r="Q181" s="240">
        <v>0.0040259234469282494</v>
      </c>
      <c r="R181" s="240">
        <v>0.0017278849536855958</v>
      </c>
    </row>
    <row r="182">
      <c r="A182" s="236">
        <v>43229.0</v>
      </c>
      <c r="B182" s="33">
        <v>-0.03877864676153783</v>
      </c>
      <c r="C182" s="33">
        <v>0.015742128745894295</v>
      </c>
      <c r="D182" s="33">
        <v>-0.023036518015643537</v>
      </c>
      <c r="E182" s="33">
        <v>0.003010019029704429</v>
      </c>
      <c r="F182" s="237">
        <v>190.21534113536836</v>
      </c>
      <c r="G182" s="237">
        <v>-5089.168539647</v>
      </c>
      <c r="H182" s="240">
        <v>-0.0010782034380755051</v>
      </c>
      <c r="I182" s="241">
        <v>3.853</v>
      </c>
      <c r="J182" s="242">
        <v>42.935</v>
      </c>
      <c r="K182" s="242">
        <v>158.63</v>
      </c>
      <c r="L182" s="242">
        <v>7.7</v>
      </c>
      <c r="M182" s="242">
        <v>106.14</v>
      </c>
      <c r="N182" s="243">
        <v>-8.219382799073398E-4</v>
      </c>
      <c r="O182" s="240">
        <v>0.002052437733647839</v>
      </c>
      <c r="P182" s="240">
        <v>8.187070293323305E-4</v>
      </c>
      <c r="Q182" s="240">
        <v>0.001618399121684284</v>
      </c>
      <c r="R182" s="240">
        <v>0.0017278849536855958</v>
      </c>
    </row>
    <row r="183">
      <c r="A183" s="236">
        <v>43228.0</v>
      </c>
      <c r="B183" s="33">
        <v>-0.039656689845055035</v>
      </c>
      <c r="C183" s="33">
        <v>0.015759147263457424</v>
      </c>
      <c r="D183" s="33">
        <v>-0.02389754258159761</v>
      </c>
      <c r="E183" s="33">
        <v>-0.004095634880180589</v>
      </c>
      <c r="F183" s="237">
        <v>-756.1505352064605</v>
      </c>
      <c r="G183" s="237">
        <v>-5279.383880782369</v>
      </c>
      <c r="H183" s="240">
        <v>-1.555854491029E-4</v>
      </c>
      <c r="I183" s="241">
        <v>3.862</v>
      </c>
      <c r="J183" s="242">
        <v>42.76</v>
      </c>
      <c r="K183" s="242">
        <v>158.75</v>
      </c>
      <c r="L183" s="242">
        <v>7.61</v>
      </c>
      <c r="M183" s="242">
        <v>105.63</v>
      </c>
      <c r="N183" s="243">
        <v>0.0</v>
      </c>
      <c r="O183" s="240">
        <v>6.937948238228769E-4</v>
      </c>
      <c r="P183" s="240">
        <v>0.0010708661417322643</v>
      </c>
      <c r="Q183" s="240">
        <v>-0.002277704774419606</v>
      </c>
      <c r="R183" s="240">
        <v>1.26226766385787E-4</v>
      </c>
    </row>
    <row r="184">
      <c r="A184" s="236">
        <v>43227.0</v>
      </c>
      <c r="B184" s="33">
        <v>-0.03623391551735899</v>
      </c>
      <c r="C184" s="33">
        <v>0.015759147263457424</v>
      </c>
      <c r="D184" s="9">
        <v>-0.020474768253901564</v>
      </c>
      <c r="E184" s="33">
        <v>-0.009041460854088</v>
      </c>
      <c r="F184" s="237">
        <v>1133.0986677700666</v>
      </c>
      <c r="G184" s="237">
        <v>-4523.233345575908</v>
      </c>
      <c r="H184" s="240">
        <v>0.002389275493352686</v>
      </c>
      <c r="I184" s="241">
        <v>3.862</v>
      </c>
      <c r="J184" s="242">
        <v>42.671</v>
      </c>
      <c r="K184" s="242">
        <v>158.24</v>
      </c>
      <c r="L184" s="242">
        <v>7.61</v>
      </c>
      <c r="M184" s="242">
        <v>105.59</v>
      </c>
      <c r="N184" s="243">
        <v>7.453786523555312E-5</v>
      </c>
      <c r="O184" s="240">
        <v>0.0030231304633123236</v>
      </c>
      <c r="P184" s="240">
        <v>5.055611729019402E-4</v>
      </c>
      <c r="Q184" s="240">
        <v>-8.855530298794498E-4</v>
      </c>
      <c r="R184" s="240">
        <v>0.0012311771948101164</v>
      </c>
    </row>
    <row r="185">
      <c r="A185" s="236">
        <v>43226.0</v>
      </c>
      <c r="B185" s="33">
        <v>-0.0367</v>
      </c>
      <c r="C185" s="33">
        <v>0.011096172319153741</v>
      </c>
      <c r="D185" s="9">
        <v>-0.025603827680846264</v>
      </c>
      <c r="E185" s="33">
        <v>0.0026703393869597835</v>
      </c>
      <c r="F185" s="237">
        <v>115.48983580112781</v>
      </c>
      <c r="G185" s="237">
        <v>-5656.332013345975</v>
      </c>
      <c r="H185" s="240">
        <v>0.0013682325812912216</v>
      </c>
      <c r="I185" s="241">
        <v>3.862</v>
      </c>
      <c r="J185" s="242">
        <v>42.671</v>
      </c>
      <c r="K185" s="242">
        <v>158.24</v>
      </c>
      <c r="L185" s="242">
        <v>7.662</v>
      </c>
      <c r="M185" s="242">
        <v>105.59</v>
      </c>
      <c r="N185" s="243">
        <v>-0.0017147710142097394</v>
      </c>
      <c r="O185" s="240">
        <v>0.010622537646486407</v>
      </c>
      <c r="P185" s="240">
        <v>4.6336708007491443E-4</v>
      </c>
      <c r="Q185" s="240">
        <v>0.0035765117270652688</v>
      </c>
      <c r="R185" s="240">
        <v>0.0010093774482955625</v>
      </c>
    </row>
    <row r="186">
      <c r="A186" s="236">
        <v>43225.0</v>
      </c>
      <c r="B186" s="33">
        <v>-0.0372</v>
      </c>
      <c r="C186" s="33">
        <v>0.011073398576777159</v>
      </c>
      <c r="D186" s="9">
        <v>-0.026126601423222838</v>
      </c>
      <c r="E186" s="33">
        <v>0.0035389479471863</v>
      </c>
      <c r="F186" s="237">
        <v>186.26272881731893</v>
      </c>
      <c r="G186" s="237">
        <v>-5771.8218491471025</v>
      </c>
      <c r="H186" s="240">
        <v>0.0013682325812912216</v>
      </c>
      <c r="I186" s="241">
        <v>3.862</v>
      </c>
      <c r="J186" s="242">
        <v>42.671</v>
      </c>
      <c r="K186" s="242">
        <v>158.24</v>
      </c>
      <c r="L186" s="242">
        <v>7.662</v>
      </c>
      <c r="M186" s="242">
        <v>105.59</v>
      </c>
      <c r="N186" s="243">
        <v>-4.5411102162538734E-4</v>
      </c>
      <c r="O186" s="240">
        <v>0.004814212380271508</v>
      </c>
      <c r="P186" s="240">
        <v>0.0019399734168255725</v>
      </c>
      <c r="Q186" s="240">
        <v>0.003664462474646614</v>
      </c>
      <c r="R186" s="240">
        <v>0.003289229257927933</v>
      </c>
    </row>
    <row r="187">
      <c r="A187" s="236">
        <v>43224.0</v>
      </c>
      <c r="B187" s="33">
        <v>-0.03768131265007968</v>
      </c>
      <c r="C187" s="33">
        <v>0.010711578468604602</v>
      </c>
      <c r="D187" s="33">
        <v>-0.026969734181475077</v>
      </c>
      <c r="E187" s="33">
        <v>0.00616617554797735</v>
      </c>
      <c r="F187" s="237">
        <v>1362.2157041006394</v>
      </c>
      <c r="G187" s="237">
        <v>-5958.084577964421</v>
      </c>
      <c r="H187" s="240">
        <v>0.0013682325812912216</v>
      </c>
      <c r="I187" s="241">
        <v>3.861</v>
      </c>
      <c r="J187" s="242">
        <v>42.284</v>
      </c>
      <c r="K187" s="242">
        <v>158.0</v>
      </c>
      <c r="L187" s="242">
        <v>7.63</v>
      </c>
      <c r="M187" s="242">
        <v>105.2</v>
      </c>
      <c r="N187" s="243">
        <v>-4.542108937092607E-4</v>
      </c>
      <c r="O187" s="240">
        <v>0.0017910819169591832</v>
      </c>
      <c r="P187" s="240">
        <v>0.0014344122439236323</v>
      </c>
      <c r="Q187" s="240">
        <v>0.002272310730106457</v>
      </c>
      <c r="R187" s="240">
        <v>0.0020580520631178164</v>
      </c>
    </row>
    <row r="188">
      <c r="A188" s="236">
        <v>43223.0</v>
      </c>
      <c r="B188" s="33">
        <v>-0.04381269846359937</v>
      </c>
      <c r="C188" s="33">
        <v>0.010676788734146942</v>
      </c>
      <c r="D188" s="33">
        <v>-0.03313590972945243</v>
      </c>
      <c r="E188" s="33">
        <v>-0.0011380321192998658</v>
      </c>
      <c r="F188" s="237">
        <v>-251.41114011743048</v>
      </c>
      <c r="G188" s="237">
        <v>-7320.300282065061</v>
      </c>
      <c r="H188" s="240">
        <v>7.041096500352909E-4</v>
      </c>
      <c r="I188" s="241">
        <v>3.882</v>
      </c>
      <c r="J188" s="242">
        <v>41.32</v>
      </c>
      <c r="K188" s="242">
        <v>158.02</v>
      </c>
      <c r="L188" s="242">
        <v>7.58</v>
      </c>
      <c r="M188" s="242">
        <v>105.27</v>
      </c>
      <c r="N188" s="243">
        <v>-7.953979253813581E-5</v>
      </c>
      <c r="O188" s="240">
        <v>-0.0061096256150890175</v>
      </c>
      <c r="P188" s="240">
        <v>0.003764935856201425</v>
      </c>
      <c r="Q188" s="240">
        <v>8.795074758134475E-5</v>
      </c>
      <c r="R188" s="240">
        <v>0.0030131532602939034</v>
      </c>
    </row>
    <row r="189">
      <c r="A189" s="236">
        <v>43222.0</v>
      </c>
      <c r="B189" s="33">
        <v>-0.042686284177524916</v>
      </c>
      <c r="C189" s="33">
        <v>0.010688406567372351</v>
      </c>
      <c r="D189" s="33">
        <v>-0.03199787761015256</v>
      </c>
      <c r="E189" s="33">
        <v>-9.234456848038197E-4</v>
      </c>
      <c r="F189" s="237">
        <v>-204.00525478655345</v>
      </c>
      <c r="G189" s="237">
        <v>-7068.88914194763</v>
      </c>
      <c r="H189" s="240">
        <v>0.00196951405124701</v>
      </c>
      <c r="I189" s="241">
        <v>3.867</v>
      </c>
      <c r="J189" s="242">
        <v>42.04</v>
      </c>
      <c r="K189" s="242">
        <v>157.32</v>
      </c>
      <c r="L189" s="242">
        <v>7.578</v>
      </c>
      <c r="M189" s="242">
        <v>104.55</v>
      </c>
      <c r="N189" s="243">
        <v>-0.0013401997851224879</v>
      </c>
      <c r="O189" s="240">
        <v>-3.0130034887411835E-4</v>
      </c>
      <c r="P189" s="240">
        <v>0.002288329519450767</v>
      </c>
      <c r="Q189" s="240">
        <v>0.002859153690507627</v>
      </c>
      <c r="R189" s="240">
        <v>7.333014506615328E-4</v>
      </c>
    </row>
    <row r="190">
      <c r="A190" s="236">
        <v>43221.0</v>
      </c>
      <c r="B190" s="33">
        <v>-0.04175625240569324</v>
      </c>
      <c r="C190" s="33">
        <v>0.010681820480344497</v>
      </c>
      <c r="D190" s="33">
        <v>-0.03107443192534874</v>
      </c>
      <c r="E190" s="33">
        <v>0.004173806754209558</v>
      </c>
      <c r="F190" s="237">
        <v>922.0666947003474</v>
      </c>
      <c r="G190" s="237">
        <v>-6864.883887161077</v>
      </c>
      <c r="H190" s="240">
        <v>0.002356803723949849</v>
      </c>
      <c r="I190" s="241">
        <v>3.866</v>
      </c>
      <c r="J190" s="242">
        <v>42.04</v>
      </c>
      <c r="K190" s="242">
        <v>157.32</v>
      </c>
      <c r="L190" s="242">
        <v>7.578</v>
      </c>
      <c r="M190" s="242">
        <v>104.55</v>
      </c>
      <c r="N190" s="243">
        <v>6.816174723002326E-5</v>
      </c>
      <c r="O190" s="240">
        <v>9.978741999796092E-4</v>
      </c>
      <c r="P190" s="240">
        <v>0.003333729758399413</v>
      </c>
      <c r="Q190" s="240">
        <v>0.004101444830309729</v>
      </c>
      <c r="R190" s="240">
        <v>-1.6167497474323979E-6</v>
      </c>
    </row>
    <row r="191">
      <c r="A191" s="236">
        <v>43220.0</v>
      </c>
      <c r="B191" s="33">
        <v>-0.0459417078190962</v>
      </c>
      <c r="C191" s="33">
        <v>0.010693469139537896</v>
      </c>
      <c r="D191" s="33">
        <v>-0.0352482386795583</v>
      </c>
      <c r="E191" s="33">
        <v>0.0026581810843352913</v>
      </c>
      <c r="F191" s="237">
        <v>587.2385547979711</v>
      </c>
      <c r="G191" s="237">
        <v>-7786.950581861424</v>
      </c>
      <c r="H191" s="240">
        <v>0.005550955624224319</v>
      </c>
      <c r="I191" s="241">
        <v>3.883</v>
      </c>
      <c r="J191" s="242">
        <v>42.078</v>
      </c>
      <c r="K191" s="242">
        <v>156.24</v>
      </c>
      <c r="L191" s="242">
        <v>7.578</v>
      </c>
      <c r="M191" s="242">
        <v>104.32000000000001</v>
      </c>
      <c r="N191" s="243">
        <v>0.004759534705724606</v>
      </c>
      <c r="O191" s="240">
        <v>0.0032157974751631526</v>
      </c>
      <c r="P191" s="240">
        <v>0.0019870802817522786</v>
      </c>
      <c r="Q191" s="240">
        <v>0.00432411238764662</v>
      </c>
      <c r="R191" s="240">
        <v>4.128579832352224E-4</v>
      </c>
    </row>
    <row r="192">
      <c r="A192" s="236">
        <v>43218.0</v>
      </c>
      <c r="B192" s="33">
        <v>-0.04862326260646872</v>
      </c>
      <c r="C192" s="33">
        <v>0.010716842842575132</v>
      </c>
      <c r="D192" s="33">
        <v>-0.03790641976389359</v>
      </c>
      <c r="E192" s="33">
        <v>2.3842333330469784E-4</v>
      </c>
      <c r="F192" s="237">
        <v>52.67187194471262</v>
      </c>
      <c r="G192" s="237">
        <v>-8374.189136659395</v>
      </c>
      <c r="H192" s="240">
        <v>0.005588462702789017</v>
      </c>
      <c r="I192" s="241">
        <v>3.883</v>
      </c>
      <c r="J192" s="242">
        <v>42.078</v>
      </c>
      <c r="K192" s="242">
        <v>156.24</v>
      </c>
      <c r="L192" s="242">
        <v>7.513</v>
      </c>
      <c r="M192" s="242">
        <v>104.32000000000001</v>
      </c>
      <c r="N192" s="243">
        <v>0.0056620617815369275</v>
      </c>
      <c r="O192" s="240">
        <v>0.008439003547840095</v>
      </c>
      <c r="P192" s="240">
        <v>0.004927436129197184</v>
      </c>
      <c r="Q192" s="240">
        <v>0.004673514846871616</v>
      </c>
      <c r="R192" s="240">
        <v>0.001532607159419739</v>
      </c>
    </row>
    <row r="193">
      <c r="A193" s="236">
        <v>43217.0</v>
      </c>
      <c r="B193" s="33">
        <v>-0.048873411150760916</v>
      </c>
      <c r="C193" s="33">
        <v>0.010728568053562626</v>
      </c>
      <c r="D193" s="33">
        <v>-0.03814484309719829</v>
      </c>
      <c r="E193" s="33">
        <v>0.013756262455032968</v>
      </c>
      <c r="F193" s="237">
        <v>3038.9982575378926</v>
      </c>
      <c r="G193" s="237">
        <v>-8426.861008604108</v>
      </c>
      <c r="H193" s="240">
        <v>0.0022787835446012573</v>
      </c>
      <c r="I193" s="241">
        <v>3.865</v>
      </c>
      <c r="J193" s="242">
        <v>41.914</v>
      </c>
      <c r="K193" s="242">
        <v>155.75</v>
      </c>
      <c r="L193" s="242">
        <v>7.485</v>
      </c>
      <c r="M193" s="242">
        <v>104.55</v>
      </c>
      <c r="N193" s="243">
        <v>0.001992233598415835</v>
      </c>
      <c r="O193" s="240">
        <v>0.0031174009151248567</v>
      </c>
      <c r="P193" s="240">
        <v>0.004336758509450843</v>
      </c>
      <c r="Q193" s="240">
        <v>0.00356621290793345</v>
      </c>
      <c r="R193" s="240">
        <v>0.0012082033259304046</v>
      </c>
    </row>
    <row r="194">
      <c r="A194" s="236">
        <v>43216.0</v>
      </c>
      <c r="B194" s="33">
        <v>-0.06264142450179998</v>
      </c>
      <c r="C194" s="33">
        <v>0.010740318949568721</v>
      </c>
      <c r="D194" s="33">
        <v>-0.05190110555223126</v>
      </c>
      <c r="E194" s="33">
        <v>0.002770702320029385</v>
      </c>
      <c r="F194" s="237">
        <v>612.0964579041483</v>
      </c>
      <c r="G194" s="237">
        <v>-11465.859266142</v>
      </c>
      <c r="H194" s="240">
        <v>-0.0014256905381513894</v>
      </c>
      <c r="I194" s="241">
        <v>3.827</v>
      </c>
      <c r="J194" s="242">
        <v>41.673</v>
      </c>
      <c r="K194" s="242">
        <v>155.31</v>
      </c>
      <c r="L194" s="242">
        <v>7.48</v>
      </c>
      <c r="M194" s="242">
        <v>104.19</v>
      </c>
      <c r="N194" s="243">
        <v>-0.001883887211534099</v>
      </c>
      <c r="O194" s="240">
        <v>-1.3207359093483367E-4</v>
      </c>
      <c r="P194" s="240">
        <v>0.002939734682089851</v>
      </c>
      <c r="Q194" s="240">
        <v>0.003883720907652622</v>
      </c>
      <c r="R194" s="240">
        <v>0.0011483923274003044</v>
      </c>
    </row>
    <row r="195">
      <c r="A195" s="236">
        <v>43215.0</v>
      </c>
      <c r="B195" s="33">
        <v>-0.06542390348734424</v>
      </c>
      <c r="C195" s="33">
        <v>0.0107520956150836</v>
      </c>
      <c r="D195" s="33">
        <v>-0.05467180787226064</v>
      </c>
      <c r="E195" s="33">
        <v>-0.009690614141258581</v>
      </c>
      <c r="F195" s="237">
        <v>-2140.825648392758</v>
      </c>
      <c r="G195" s="237">
        <v>-12077.955724046149</v>
      </c>
      <c r="H195" s="240">
        <v>-8.198262454481945E-4</v>
      </c>
      <c r="I195" s="241">
        <v>3.817</v>
      </c>
      <c r="J195" s="242">
        <v>41.02</v>
      </c>
      <c r="K195" s="242">
        <v>153.94</v>
      </c>
      <c r="L195" s="242">
        <v>7.408</v>
      </c>
      <c r="M195" s="242">
        <v>103.84</v>
      </c>
      <c r="N195" s="243">
        <v>-0.0027864142873464206</v>
      </c>
      <c r="O195" s="240">
        <v>-0.005355279663611775</v>
      </c>
      <c r="P195" s="240">
        <v>-6.211653550542134E-7</v>
      </c>
      <c r="Q195" s="240">
        <v>6.751647579199997E-4</v>
      </c>
      <c r="R195" s="240">
        <v>2.8643151215787793E-5</v>
      </c>
    </row>
    <row r="196">
      <c r="A196" s="236">
        <v>43214.0</v>
      </c>
      <c r="B196" s="33">
        <v>-0.05574509186597049</v>
      </c>
      <c r="C196" s="33">
        <v>0.010763898134968433</v>
      </c>
      <c r="D196" s="33">
        <v>-0.04498119373100206</v>
      </c>
      <c r="E196" s="33">
        <v>0.002642840206775028</v>
      </c>
      <c r="F196" s="237">
        <v>583.8494874312237</v>
      </c>
      <c r="G196" s="237">
        <v>-9937.130075653391</v>
      </c>
      <c r="H196" s="240">
        <v>0.002371962071781352</v>
      </c>
      <c r="I196" s="241">
        <v>3.842</v>
      </c>
      <c r="J196" s="242">
        <v>41.515</v>
      </c>
      <c r="K196" s="242">
        <v>153.73</v>
      </c>
      <c r="L196" s="242">
        <v>7.405</v>
      </c>
      <c r="M196" s="242">
        <v>104.17</v>
      </c>
      <c r="N196" s="243">
        <v>-5.9938562972952E-4</v>
      </c>
      <c r="O196" s="240">
        <v>-0.0013328515797502655</v>
      </c>
      <c r="P196" s="240">
        <v>-4.553437845573581E-4</v>
      </c>
      <c r="Q196" s="240">
        <v>5.401755570560637E-4</v>
      </c>
      <c r="R196" s="240">
        <v>0.0010879651851140872</v>
      </c>
    </row>
    <row r="197">
      <c r="A197" s="236">
        <v>43213.0</v>
      </c>
      <c r="B197" s="33">
        <v>-0.0583997605322345</v>
      </c>
      <c r="C197" s="33">
        <v>0.010775726594457411</v>
      </c>
      <c r="D197" s="33">
        <v>-0.04762403393777709</v>
      </c>
      <c r="E197" s="33">
        <v>0.00458829519813897</v>
      </c>
      <c r="F197" s="237">
        <v>1013.6344197992694</v>
      </c>
      <c r="G197" s="237">
        <v>-10520.979563084615</v>
      </c>
      <c r="H197" s="240">
        <v>-3.256818930730913E-4</v>
      </c>
      <c r="I197" s="241">
        <v>3.849</v>
      </c>
      <c r="J197" s="242">
        <v>41.681</v>
      </c>
      <c r="K197" s="242">
        <v>153.94</v>
      </c>
      <c r="L197" s="242">
        <v>7.393</v>
      </c>
      <c r="M197" s="242">
        <v>103.83</v>
      </c>
      <c r="N197" s="243">
        <v>-0.002243661655822323</v>
      </c>
      <c r="O197" s="240">
        <v>0.002527130667050498</v>
      </c>
      <c r="P197" s="240">
        <v>4.114157030877782E-4</v>
      </c>
      <c r="Q197" s="240">
        <v>0.0</v>
      </c>
      <c r="R197" s="240">
        <v>-0.0018299142829625587</v>
      </c>
    </row>
    <row r="198">
      <c r="A198" s="236">
        <v>43212.0</v>
      </c>
      <c r="B198" s="33">
        <v>-0.06299991021507585</v>
      </c>
      <c r="C198" s="33">
        <v>0.01078758107915979</v>
      </c>
      <c r="D198" s="33">
        <v>-0.05221232913591606</v>
      </c>
      <c r="E198" s="33">
        <v>-1.152491895699409E-4</v>
      </c>
      <c r="F198" s="237">
        <v>-25.46055568731572</v>
      </c>
      <c r="G198" s="237">
        <v>-11534.613982883884</v>
      </c>
      <c r="H198" s="240">
        <v>-0.002595093818689609</v>
      </c>
      <c r="I198" s="241">
        <v>3.849</v>
      </c>
      <c r="J198" s="242">
        <v>41.681</v>
      </c>
      <c r="K198" s="242">
        <v>153.94</v>
      </c>
      <c r="L198" s="242">
        <v>7.393</v>
      </c>
      <c r="M198" s="242">
        <v>103.83</v>
      </c>
      <c r="N198" s="243">
        <v>-0.0014264861116577044</v>
      </c>
      <c r="O198" s="240">
        <v>0.0018824632751330292</v>
      </c>
      <c r="P198" s="240">
        <v>0.002210873697667689</v>
      </c>
      <c r="Q198" s="240">
        <v>-7.664908246539677E-4</v>
      </c>
      <c r="R198" s="240">
        <v>-0.0011913446788757041</v>
      </c>
    </row>
    <row r="199">
      <c r="A199" s="236">
        <v>43211.0</v>
      </c>
      <c r="B199" s="33">
        <v>-0.06289654162140806</v>
      </c>
      <c r="C199" s="33">
        <v>0.010799461675061945</v>
      </c>
      <c r="D199" s="33">
        <v>-0.05209707994634612</v>
      </c>
      <c r="E199" s="33">
        <v>-0.005450091687788303</v>
      </c>
      <c r="F199" s="237">
        <v>-1204.0202923396973</v>
      </c>
      <c r="G199" s="237">
        <v>-11509.153427196568</v>
      </c>
      <c r="H199" s="240">
        <v>-0.0033071055615234435</v>
      </c>
      <c r="I199" s="241">
        <v>3.849</v>
      </c>
      <c r="J199" s="242">
        <v>41.681</v>
      </c>
      <c r="K199" s="242">
        <v>153.94</v>
      </c>
      <c r="L199" s="242">
        <v>7.393</v>
      </c>
      <c r="M199" s="242">
        <v>103.83</v>
      </c>
      <c r="N199" s="243">
        <v>-0.007607600201618987</v>
      </c>
      <c r="O199" s="240">
        <v>8.892163360008203E-5</v>
      </c>
      <c r="P199" s="240">
        <v>0.0014043517689904374</v>
      </c>
      <c r="Q199" s="240">
        <v>-9.172699199541262E-5</v>
      </c>
      <c r="R199" s="240">
        <v>-0.002310986393526997</v>
      </c>
    </row>
    <row r="200">
      <c r="A200" s="236">
        <v>43210.0</v>
      </c>
      <c r="B200" s="33">
        <v>-0.0574583567270873</v>
      </c>
      <c r="C200" s="33">
        <v>0.010811368468529486</v>
      </c>
      <c r="D200" s="33">
        <v>-0.046646988258557814</v>
      </c>
      <c r="E200" s="33">
        <v>-0.002219940578710583</v>
      </c>
      <c r="F200" s="237">
        <v>-490.4235850829409</v>
      </c>
      <c r="G200" s="237">
        <v>-10305.133134856871</v>
      </c>
      <c r="H200" s="240">
        <v>3.6057996647916035E-4</v>
      </c>
      <c r="I200" s="241">
        <v>3.875</v>
      </c>
      <c r="J200" s="242">
        <v>41.365</v>
      </c>
      <c r="K200" s="242">
        <v>153.75</v>
      </c>
      <c r="L200" s="242">
        <v>7.393</v>
      </c>
      <c r="M200" s="242">
        <v>104.4</v>
      </c>
      <c r="N200" s="243">
        <v>-0.005217707647207803</v>
      </c>
      <c r="O200" s="240">
        <v>-0.0020942200410981773</v>
      </c>
      <c r="P200" s="240">
        <v>-4.6399741529858443E-4</v>
      </c>
      <c r="Q200" s="240">
        <v>0.00405521914278036</v>
      </c>
      <c r="R200" s="240">
        <v>3.15994683632915E-4</v>
      </c>
    </row>
    <row r="201">
      <c r="A201" s="236">
        <v>43209.0</v>
      </c>
      <c r="B201" s="33">
        <v>-0.05525034922615655</v>
      </c>
      <c r="C201" s="33">
        <v>0.010823301546309321</v>
      </c>
      <c r="D201" s="33">
        <v>-0.04442704767984723</v>
      </c>
      <c r="E201" s="33">
        <v>-0.0022512844180714447</v>
      </c>
      <c r="F201" s="237">
        <v>-497.34798577052425</v>
      </c>
      <c r="G201" s="237">
        <v>-9814.70954977393</v>
      </c>
      <c r="H201" s="240">
        <v>0.001693444015044764</v>
      </c>
      <c r="I201" s="241">
        <v>3.865</v>
      </c>
      <c r="J201" s="242">
        <v>41.445</v>
      </c>
      <c r="K201" s="242">
        <v>152.92000000000002</v>
      </c>
      <c r="L201" s="242">
        <v>7.41</v>
      </c>
      <c r="M201" s="242">
        <v>104.2</v>
      </c>
      <c r="N201" s="243">
        <v>-0.004571932419665851</v>
      </c>
      <c r="O201" s="240">
        <v>0.0033712681716400864</v>
      </c>
      <c r="P201" s="240">
        <v>-0.00128917637636326</v>
      </c>
      <c r="Q201" s="240">
        <v>0.004228346509494673</v>
      </c>
      <c r="R201" s="240">
        <v>-6.421658440717361E-4</v>
      </c>
    </row>
    <row r="202">
      <c r="A202" s="236">
        <v>43208.0</v>
      </c>
      <c r="B202" s="33">
        <v>-0.05301102425730755</v>
      </c>
      <c r="C202" s="33">
        <v>0.01083526099553176</v>
      </c>
      <c r="D202" s="33">
        <v>-0.04217576326177579</v>
      </c>
      <c r="E202" s="33">
        <v>0.005552964896219509</v>
      </c>
      <c r="F202" s="237">
        <v>1226.7467779815433</v>
      </c>
      <c r="G202" s="237">
        <v>-9317.361564003406</v>
      </c>
      <c r="H202" s="240">
        <v>0.002255751630306615</v>
      </c>
      <c r="I202" s="241">
        <v>3.937</v>
      </c>
      <c r="J202" s="242">
        <v>41.668</v>
      </c>
      <c r="K202" s="242">
        <v>153.29</v>
      </c>
      <c r="L202" s="242">
        <v>7.3950000000000005</v>
      </c>
      <c r="M202" s="242">
        <v>104.55</v>
      </c>
      <c r="N202" s="243">
        <v>0.0016091816702954312</v>
      </c>
      <c r="O202" s="240">
        <v>0.005164809813173034</v>
      </c>
      <c r="P202" s="240">
        <v>-4.826544476860081E-4</v>
      </c>
      <c r="Q202" s="240">
        <v>0.003553582676836118</v>
      </c>
      <c r="R202" s="240">
        <v>4.774758705795573E-4</v>
      </c>
    </row>
    <row r="203">
      <c r="A203" s="236">
        <v>43207.0</v>
      </c>
      <c r="B203" s="33">
        <v>-0.058575975061707954</v>
      </c>
      <c r="C203" s="33">
        <v>0.010847246903712658</v>
      </c>
      <c r="D203" s="33">
        <v>-0.047728728157995295</v>
      </c>
      <c r="E203" s="33">
        <v>0.001778651566986228</v>
      </c>
      <c r="F203" s="237">
        <v>392.93514721075735</v>
      </c>
      <c r="G203" s="237">
        <v>-10544.10834198495</v>
      </c>
      <c r="H203" s="240">
        <v>4.515116919050234E-4</v>
      </c>
      <c r="I203" s="241">
        <v>3.935</v>
      </c>
      <c r="J203" s="242">
        <v>41.625</v>
      </c>
      <c r="K203" s="242">
        <v>153.96</v>
      </c>
      <c r="L203" s="242">
        <v>7.303</v>
      </c>
      <c r="M203" s="242">
        <v>104.3</v>
      </c>
      <c r="N203" s="243">
        <v>5.078409340752593E-4</v>
      </c>
      <c r="O203" s="240">
        <v>0.0048451973900624406</v>
      </c>
      <c r="P203" s="240">
        <v>-8.27992262600137E-4</v>
      </c>
      <c r="Q203" s="240">
        <v>-0.0021424795505221544</v>
      </c>
      <c r="R203" s="240">
        <v>-0.0010220174881133228</v>
      </c>
    </row>
    <row r="204">
      <c r="A204" s="236">
        <v>43206.0</v>
      </c>
      <c r="B204" s="33">
        <v>-0.06036663908373706</v>
      </c>
      <c r="C204" s="33">
        <v>0.010859259358755535</v>
      </c>
      <c r="D204" s="33">
        <v>-0.04950737972498152</v>
      </c>
      <c r="E204" s="33">
        <v>-5.643615722858916E-4</v>
      </c>
      <c r="F204" s="237">
        <v>-124.67731263521273</v>
      </c>
      <c r="G204" s="237">
        <v>-10937.043489195707</v>
      </c>
      <c r="H204" s="240">
        <v>9.442926634234637E-5</v>
      </c>
      <c r="I204" s="241">
        <v>3.918</v>
      </c>
      <c r="J204" s="242">
        <v>41.023</v>
      </c>
      <c r="K204" s="242">
        <v>153.51</v>
      </c>
      <c r="L204" s="242">
        <v>7.316</v>
      </c>
      <c r="M204" s="242">
        <v>104.4</v>
      </c>
      <c r="N204" s="243">
        <v>-0.0010283699108914355</v>
      </c>
      <c r="O204" s="240">
        <v>-8.532441036008454E-4</v>
      </c>
      <c r="P204" s="240">
        <v>-0.0020398420274013074</v>
      </c>
      <c r="Q204" s="240">
        <v>2.6494286433360187E-4</v>
      </c>
      <c r="R204" s="240">
        <v>0.001336699160349948</v>
      </c>
    </row>
    <row r="205">
      <c r="A205" s="236">
        <v>43205.0</v>
      </c>
      <c r="B205" s="33">
        <v>-0.05981431660164934</v>
      </c>
      <c r="C205" s="33">
        <v>0.010871298448953707</v>
      </c>
      <c r="D205" s="33">
        <v>-0.04894301815269563</v>
      </c>
      <c r="E205" s="33">
        <v>1.4024508101473376E-4</v>
      </c>
      <c r="F205" s="237">
        <v>30.98258398494727</v>
      </c>
      <c r="G205" s="237">
        <v>-10812.366176560494</v>
      </c>
      <c r="H205" s="240">
        <v>0.0021048296457222304</v>
      </c>
      <c r="I205" s="241">
        <v>3.918</v>
      </c>
      <c r="J205" s="242">
        <v>41.023</v>
      </c>
      <c r="K205" s="242">
        <v>153.51</v>
      </c>
      <c r="L205" s="242">
        <v>7.316</v>
      </c>
      <c r="M205" s="242">
        <v>104.4</v>
      </c>
      <c r="N205" s="243">
        <v>-0.003811640986845452</v>
      </c>
      <c r="O205" s="240">
        <v>0.0031424117350816586</v>
      </c>
      <c r="P205" s="240">
        <v>-0.0013492193879278607</v>
      </c>
      <c r="Q205" s="240">
        <v>2.6494286433360187E-4</v>
      </c>
      <c r="R205" s="240">
        <v>-0.003600147669168523</v>
      </c>
    </row>
    <row r="206">
      <c r="A206" s="236">
        <v>43203.0</v>
      </c>
      <c r="B206" s="33">
        <v>-0.05997872012366175</v>
      </c>
      <c r="C206" s="33">
        <v>0.010895456889951383</v>
      </c>
      <c r="D206" s="33">
        <v>-0.049083263233710366</v>
      </c>
      <c r="E206" s="33">
        <v>7.07404290298197E-4</v>
      </c>
      <c r="F206" s="237">
        <v>156.27794341801928</v>
      </c>
      <c r="G206" s="237">
        <v>-10843.348760545441</v>
      </c>
      <c r="H206" s="240">
        <v>-3.798434017464024E-4</v>
      </c>
      <c r="I206" s="241">
        <v>3.929</v>
      </c>
      <c r="J206" s="242">
        <v>41.02</v>
      </c>
      <c r="K206" s="242">
        <v>154.34</v>
      </c>
      <c r="L206" s="242">
        <v>7.3500000000000005</v>
      </c>
      <c r="M206" s="242">
        <v>104.62</v>
      </c>
      <c r="N206" s="243">
        <v>-2.366995941237698E-5</v>
      </c>
      <c r="O206" s="240">
        <v>5.832744915444171E-4</v>
      </c>
      <c r="P206" s="240">
        <v>-2.6063134620815534E-4</v>
      </c>
      <c r="Q206" s="240">
        <v>9.020662528577534E-4</v>
      </c>
      <c r="R206" s="240">
        <v>0.0022513817510257505</v>
      </c>
    </row>
    <row r="207">
      <c r="A207" s="236">
        <v>43202.0</v>
      </c>
      <c r="B207" s="33">
        <v>-0.06069824394331473</v>
      </c>
      <c r="C207" s="33">
        <v>0.010907576419306168</v>
      </c>
      <c r="D207" s="33">
        <v>-0.04979066752400856</v>
      </c>
      <c r="E207" s="33">
        <v>0.005466839565853761</v>
      </c>
      <c r="F207" s="237">
        <v>1207.7201906532664</v>
      </c>
      <c r="G207" s="237">
        <v>-10999.62670396346</v>
      </c>
      <c r="H207" s="240">
        <v>6.27194694746649E-4</v>
      </c>
      <c r="I207" s="241">
        <v>3.93</v>
      </c>
      <c r="J207" s="242">
        <v>41.128</v>
      </c>
      <c r="K207" s="242">
        <v>154.45000000000002</v>
      </c>
      <c r="L207" s="242">
        <v>7.3100000000000005</v>
      </c>
      <c r="M207" s="242">
        <v>103.98</v>
      </c>
      <c r="N207" s="243">
        <v>8.554509197085479E-4</v>
      </c>
      <c r="O207" s="240">
        <v>0.003243818181190357</v>
      </c>
      <c r="P207" s="240">
        <v>-1.741245365416108E-4</v>
      </c>
      <c r="Q207" s="240">
        <v>0.0011343920162690704</v>
      </c>
      <c r="R207" s="240">
        <v>8.860456113183833E-4</v>
      </c>
    </row>
    <row r="208">
      <c r="A208" s="236">
        <v>43201.0</v>
      </c>
      <c r="B208" s="33">
        <v>-0.06617723003079355</v>
      </c>
      <c r="C208" s="33">
        <v>0.01091972294093123</v>
      </c>
      <c r="D208" s="33">
        <v>-0.05525750708986232</v>
      </c>
      <c r="E208" s="33">
        <v>-0.007313774061391165</v>
      </c>
      <c r="F208" s="237">
        <v>-1615.740227496286</v>
      </c>
      <c r="G208" s="237">
        <v>-12207.346894616727</v>
      </c>
      <c r="H208" s="240">
        <v>-0.0010846412986407785</v>
      </c>
      <c r="I208" s="241">
        <v>3.963</v>
      </c>
      <c r="J208" s="242">
        <v>40.635</v>
      </c>
      <c r="K208" s="242">
        <v>154.13</v>
      </c>
      <c r="L208" s="242">
        <v>7.3100000000000005</v>
      </c>
      <c r="M208" s="242">
        <v>105.52</v>
      </c>
      <c r="N208" s="243">
        <v>0.003638721995662564</v>
      </c>
      <c r="O208" s="240">
        <v>-7.518376574921475E-4</v>
      </c>
      <c r="P208" s="240">
        <v>-8.647471760150576E-4</v>
      </c>
      <c r="Q208" s="240">
        <v>0.0039255153290121475</v>
      </c>
      <c r="R208" s="240">
        <v>0.005822892440836854</v>
      </c>
    </row>
    <row r="209">
      <c r="A209" s="236">
        <v>43200.0</v>
      </c>
      <c r="B209" s="33">
        <v>-0.06146635721205336</v>
      </c>
      <c r="C209" s="33">
        <v>0.013522624183582204</v>
      </c>
      <c r="D209" s="33">
        <v>-0.04794373302847116</v>
      </c>
      <c r="E209" s="33">
        <v>0.0037285185797773512</v>
      </c>
      <c r="F209" s="237">
        <v>823.6947720487406</v>
      </c>
      <c r="G209" s="237">
        <v>-10591.60666712044</v>
      </c>
      <c r="H209" s="240">
        <v>0.001489026347826004</v>
      </c>
      <c r="I209" s="241">
        <v>3.929</v>
      </c>
      <c r="J209" s="242">
        <v>40.944</v>
      </c>
      <c r="K209" s="242">
        <v>154.46</v>
      </c>
      <c r="L209" s="242">
        <v>7.33</v>
      </c>
      <c r="M209" s="242">
        <v>103.89</v>
      </c>
      <c r="N209" s="243">
        <v>-4.4257864482587765E-4</v>
      </c>
      <c r="O209" s="240">
        <v>0.0013900439498912174</v>
      </c>
      <c r="P209" s="240">
        <v>-0.002070863744738989</v>
      </c>
      <c r="Q209" s="240">
        <v>0.004837508033070495</v>
      </c>
      <c r="R209" s="240">
        <v>-2.5856638194005684E-4</v>
      </c>
    </row>
    <row r="210">
      <c r="A210" s="236">
        <v>43199.0</v>
      </c>
      <c r="B210" s="33">
        <v>-0.06334443924010465</v>
      </c>
      <c r="C210" s="33">
        <v>0.011672187631856136</v>
      </c>
      <c r="D210" s="33">
        <v>-0.05167225160824851</v>
      </c>
      <c r="E210" s="33">
        <v>3.3133158569147864E-4</v>
      </c>
      <c r="F210" s="237">
        <v>73.19692502779071</v>
      </c>
      <c r="G210" s="237">
        <v>-11415.301439169181</v>
      </c>
      <c r="H210" s="240">
        <v>-7.413134370127389E-4</v>
      </c>
      <c r="I210" s="241">
        <v>3.92</v>
      </c>
      <c r="J210" s="242">
        <v>40.725</v>
      </c>
      <c r="K210" s="242">
        <v>154.53</v>
      </c>
      <c r="L210" s="242">
        <v>7.285</v>
      </c>
      <c r="M210" s="242">
        <v>103.68</v>
      </c>
      <c r="N210" s="243">
        <v>0.0014586135197552296</v>
      </c>
      <c r="O210" s="240">
        <v>-0.006344530077793569</v>
      </c>
      <c r="P210" s="240">
        <v>-0.001834010778380568</v>
      </c>
      <c r="Q210" s="240">
        <v>0.005144390200893693</v>
      </c>
      <c r="R210" s="240">
        <v>-4.19387482579441E-4</v>
      </c>
    </row>
    <row r="211">
      <c r="A211" s="236">
        <v>43197.0</v>
      </c>
      <c r="B211" s="33">
        <v>-0.06370188310237745</v>
      </c>
      <c r="C211" s="33">
        <v>0.011698299908437468</v>
      </c>
      <c r="D211" s="33">
        <v>-0.05200358319393999</v>
      </c>
      <c r="E211" s="33">
        <v>4.072288780091818E-4</v>
      </c>
      <c r="F211" s="237">
        <v>89.96396039508727</v>
      </c>
      <c r="G211" s="237">
        <v>-11488.498364196972</v>
      </c>
      <c r="H211" s="240">
        <v>0.0034002441836138175</v>
      </c>
      <c r="I211" s="241">
        <v>3.92</v>
      </c>
      <c r="J211" s="242">
        <v>40.725</v>
      </c>
      <c r="K211" s="242">
        <v>154.53</v>
      </c>
      <c r="L211" s="242">
        <v>7.224</v>
      </c>
      <c r="M211" s="242">
        <v>103.68</v>
      </c>
      <c r="N211" s="243">
        <v>-0.0014918917542729498</v>
      </c>
      <c r="O211" s="240">
        <v>0.0036793247690775715</v>
      </c>
      <c r="P211" s="240">
        <v>-0.0010188050461971134</v>
      </c>
      <c r="Q211" s="240">
        <v>0.00458385381133478</v>
      </c>
      <c r="R211" s="240">
        <v>-0.001254246038274156</v>
      </c>
    </row>
    <row r="212">
      <c r="A212" s="236">
        <v>43196.0</v>
      </c>
      <c r="B212" s="33">
        <v>-0.0641222119802841</v>
      </c>
      <c r="C212" s="33">
        <v>0.011711399908334934</v>
      </c>
      <c r="D212" s="33">
        <v>-0.05241081207194917</v>
      </c>
      <c r="E212" s="33">
        <v>-0.002962500774738877</v>
      </c>
      <c r="F212" s="237">
        <v>-654.4680811241851</v>
      </c>
      <c r="G212" s="237">
        <v>-11578.46232459206</v>
      </c>
      <c r="H212" s="240">
        <v>0.0018531030418057319</v>
      </c>
      <c r="I212" s="241">
        <v>3.935</v>
      </c>
      <c r="J212" s="242">
        <v>40.773</v>
      </c>
      <c r="K212" s="242">
        <v>155.42000000000002</v>
      </c>
      <c r="L212" s="242">
        <v>7.224</v>
      </c>
      <c r="M212" s="242">
        <v>103.97</v>
      </c>
      <c r="N212" s="243">
        <v>-8.283758979417515E-4</v>
      </c>
      <c r="O212" s="240">
        <v>0.004941704245897113</v>
      </c>
      <c r="P212" s="240">
        <v>-1.0975791124955539E-4</v>
      </c>
      <c r="Q212" s="240">
        <v>7.943801271242355E-4</v>
      </c>
      <c r="R212" s="240">
        <v>-9.768200611157036E-5</v>
      </c>
    </row>
    <row r="213">
      <c r="A213" s="236">
        <v>43195.0</v>
      </c>
      <c r="B213" s="33">
        <v>-0.06117284057763977</v>
      </c>
      <c r="C213" s="33">
        <v>0.011724529280429477</v>
      </c>
      <c r="D213" s="33">
        <v>-0.04944831129721029</v>
      </c>
      <c r="E213" s="33">
        <v>0.012756004447571148</v>
      </c>
      <c r="F213" s="237">
        <v>2818.0238212256063</v>
      </c>
      <c r="G213" s="237">
        <v>-10923.994243467874</v>
      </c>
      <c r="H213" s="240">
        <v>0.001136852455840676</v>
      </c>
      <c r="I213" s="241">
        <v>3.903</v>
      </c>
      <c r="J213" s="242">
        <v>41.501</v>
      </c>
      <c r="K213" s="242">
        <v>155.38</v>
      </c>
      <c r="L213" s="242">
        <v>7.173</v>
      </c>
      <c r="M213" s="242">
        <v>103.81</v>
      </c>
      <c r="N213" s="243">
        <v>-0.00353542886838366</v>
      </c>
      <c r="O213" s="240">
        <v>0.010893355256778451</v>
      </c>
      <c r="P213" s="240">
        <v>-1.9554695598858604E-4</v>
      </c>
      <c r="Q213" s="240">
        <v>-0.0015588867610263804</v>
      </c>
      <c r="R213" s="240">
        <v>-6.106504906102931E-4</v>
      </c>
    </row>
    <row r="214">
      <c r="A214" s="236">
        <v>43194.0</v>
      </c>
      <c r="B214" s="33">
        <v>-0.07394200386839883</v>
      </c>
      <c r="C214" s="33">
        <v>0.011737688123617388</v>
      </c>
      <c r="D214" s="33">
        <v>-0.06220431574478144</v>
      </c>
      <c r="E214" s="33">
        <v>-0.004234194547415075</v>
      </c>
      <c r="F214" s="237">
        <v>-935.4074112596609</v>
      </c>
      <c r="G214" s="237">
        <v>-13742.01806469348</v>
      </c>
      <c r="H214" s="240">
        <v>-0.0032153773605139574</v>
      </c>
      <c r="I214" s="241">
        <v>3.937</v>
      </c>
      <c r="J214" s="242">
        <v>40.253</v>
      </c>
      <c r="K214" s="242">
        <v>155.0</v>
      </c>
      <c r="L214" s="242">
        <v>7.125</v>
      </c>
      <c r="M214" s="242">
        <v>104.07000000000001</v>
      </c>
      <c r="N214" s="243">
        <v>-5.849235943554802E-4</v>
      </c>
      <c r="O214" s="240">
        <v>8.695004099073103E-4</v>
      </c>
      <c r="P214" s="240">
        <v>-0.0010107526881720406</v>
      </c>
      <c r="Q214" s="240">
        <v>-0.0037894736842105452</v>
      </c>
      <c r="R214" s="240">
        <v>2.2420806508442197E-4</v>
      </c>
    </row>
    <row r="215">
      <c r="A215" s="236">
        <v>43193.0</v>
      </c>
      <c r="B215" s="33">
        <v>-0.06955834169382187</v>
      </c>
      <c r="C215" s="33">
        <v>0.011588220496455505</v>
      </c>
      <c r="D215" s="33">
        <v>-0.057970121197366366</v>
      </c>
      <c r="E215" s="33">
        <v>-0.005111252532634045</v>
      </c>
      <c r="F215" s="237">
        <v>-1129.1648143008479</v>
      </c>
      <c r="G215" s="237">
        <v>-12806.61065343382</v>
      </c>
      <c r="H215" s="240">
        <v>-1.1758040535969395E-4</v>
      </c>
      <c r="I215" s="241">
        <v>3.944</v>
      </c>
      <c r="J215" s="242">
        <v>40.148</v>
      </c>
      <c r="K215" s="242">
        <v>155.47</v>
      </c>
      <c r="L215" s="242">
        <v>7.206</v>
      </c>
      <c r="M215" s="242">
        <v>104.0</v>
      </c>
      <c r="N215" s="243">
        <v>-7.298737318443727E-4</v>
      </c>
      <c r="O215" s="240">
        <v>-0.00383580751220481</v>
      </c>
      <c r="P215" s="240">
        <v>1.2864218177140773E-4</v>
      </c>
      <c r="Q215" s="240">
        <v>0.0</v>
      </c>
      <c r="R215" s="240">
        <v>0.002980769230769207</v>
      </c>
    </row>
    <row r="216">
      <c r="A216" s="236">
        <v>43190.0</v>
      </c>
      <c r="B216" s="33">
        <v>-0.06446711255264423</v>
      </c>
      <c r="C216" s="33">
        <v>0.01160824388791191</v>
      </c>
      <c r="D216" s="33">
        <v>-0.05285886866473232</v>
      </c>
      <c r="E216" s="33">
        <v>-3.006850014927523E-4</v>
      </c>
      <c r="F216" s="237">
        <v>-66.42656016423462</v>
      </c>
      <c r="G216" s="237">
        <v>-11677.445839132972</v>
      </c>
      <c r="H216" s="240">
        <v>0.004299723431196304</v>
      </c>
      <c r="I216" s="241">
        <v>3.944</v>
      </c>
      <c r="J216" s="242">
        <v>40.148</v>
      </c>
      <c r="K216" s="242">
        <v>155.47</v>
      </c>
      <c r="L216" s="242">
        <v>7.206</v>
      </c>
      <c r="M216" s="242">
        <v>104.0</v>
      </c>
      <c r="N216" s="243">
        <v>-4.3856210122754255E-4</v>
      </c>
      <c r="O216" s="240">
        <v>9.987980857595555E-4</v>
      </c>
      <c r="P216" s="240">
        <v>0.0013726633730289076</v>
      </c>
      <c r="Q216" s="240">
        <v>0.0034693311129614293</v>
      </c>
      <c r="R216" s="240">
        <v>0.0025926834638147415</v>
      </c>
    </row>
    <row r="217">
      <c r="A217" s="236">
        <v>43189.0</v>
      </c>
      <c r="B217" s="33">
        <v>-0.06417952940655544</v>
      </c>
      <c r="C217" s="33">
        <v>0.01162134574331587</v>
      </c>
      <c r="D217" s="33">
        <v>-0.05255818366323957</v>
      </c>
      <c r="E217" s="33">
        <v>0.005059196318047715</v>
      </c>
      <c r="F217" s="237">
        <v>1117.6646887442857</v>
      </c>
      <c r="G217" s="237">
        <v>-11611.019278968737</v>
      </c>
      <c r="H217" s="240">
        <v>0.004271827775953673</v>
      </c>
      <c r="I217" s="241">
        <v>3.944</v>
      </c>
      <c r="J217" s="242">
        <v>40.148</v>
      </c>
      <c r="K217" s="242">
        <v>155.47</v>
      </c>
      <c r="L217" s="242">
        <v>7.206</v>
      </c>
      <c r="M217" s="242">
        <v>104.0</v>
      </c>
      <c r="N217" s="243">
        <v>0.0035704764584342523</v>
      </c>
      <c r="O217" s="240">
        <v>0.0024230503533190814</v>
      </c>
      <c r="P217" s="240">
        <v>0.006022924950242619</v>
      </c>
      <c r="Q217" s="240">
        <v>0.0037497966858123723</v>
      </c>
      <c r="R217" s="240">
        <v>-0.0012513582714955205</v>
      </c>
    </row>
    <row r="218">
      <c r="A218" s="236">
        <v>43188.0</v>
      </c>
      <c r="B218" s="33">
        <v>-0.0692518571887199</v>
      </c>
      <c r="C218" s="33">
        <v>0.011634477207432613</v>
      </c>
      <c r="D218" s="33">
        <v>-0.057617379981287284</v>
      </c>
      <c r="E218" s="33">
        <v>0.008140658977033949</v>
      </c>
      <c r="F218" s="237">
        <v>1798.4135245518682</v>
      </c>
      <c r="G218" s="237">
        <v>-12728.683967713023</v>
      </c>
      <c r="H218" s="240">
        <v>0.001310857877961628</v>
      </c>
      <c r="I218" s="241">
        <v>3.953</v>
      </c>
      <c r="J218" s="242">
        <v>40.61</v>
      </c>
      <c r="K218" s="242">
        <v>155.41</v>
      </c>
      <c r="L218" s="242">
        <v>7.206</v>
      </c>
      <c r="M218" s="242">
        <v>103.07000000000001</v>
      </c>
      <c r="N218" s="243">
        <v>0.004300350190278625</v>
      </c>
      <c r="O218" s="240">
        <v>0.006258857865523892</v>
      </c>
      <c r="P218" s="240">
        <v>0.005894282768471211</v>
      </c>
      <c r="Q218" s="240">
        <v>0.0037497966858123723</v>
      </c>
      <c r="R218" s="240">
        <v>-0.004232127502264728</v>
      </c>
    </row>
    <row r="219">
      <c r="A219" s="236">
        <v>43187.0</v>
      </c>
      <c r="B219" s="33">
        <v>-0.07740567733906542</v>
      </c>
      <c r="C219" s="33">
        <v>0.011647638380744188</v>
      </c>
      <c r="D219" s="33">
        <v>-0.06575803895832123</v>
      </c>
      <c r="E219" s="33">
        <v>-3.8437196722064526E-4</v>
      </c>
      <c r="F219" s="237">
        <v>-84.91447022389184</v>
      </c>
      <c r="G219" s="237">
        <v>-14527.097492264891</v>
      </c>
      <c r="H219" s="240">
        <v>-0.002031480110358761</v>
      </c>
      <c r="I219" s="241">
        <v>3.949</v>
      </c>
      <c r="J219" s="242">
        <v>40.021</v>
      </c>
      <c r="K219" s="242">
        <v>154.83</v>
      </c>
      <c r="L219" s="242">
        <v>7.131</v>
      </c>
      <c r="M219" s="242">
        <v>103.19</v>
      </c>
      <c r="N219" s="243">
        <v>0.004230375434385164</v>
      </c>
      <c r="O219" s="240">
        <v>-0.0038455093384630796</v>
      </c>
      <c r="P219" s="240">
        <v>0.0019647306936085717</v>
      </c>
      <c r="Q219" s="240">
        <v>-0.0010762595733478833</v>
      </c>
      <c r="R219" s="240">
        <v>-0.0047062758797824155</v>
      </c>
    </row>
    <row r="220">
      <c r="A220" s="236">
        <v>43185.0</v>
      </c>
      <c r="B220" s="33">
        <v>-0.07704771725025916</v>
      </c>
      <c r="C220" s="33">
        <v>0.011674050259158575</v>
      </c>
      <c r="D220" s="33">
        <v>-0.06537366699110059</v>
      </c>
      <c r="E220" s="33">
        <v>-0.0038237133759284198</v>
      </c>
      <c r="F220" s="237">
        <v>-844.7249625220211</v>
      </c>
      <c r="G220" s="237">
        <v>-14442.183022041</v>
      </c>
      <c r="H220" s="240">
        <v>-0.002600477735242572</v>
      </c>
      <c r="I220" s="241">
        <v>3.902</v>
      </c>
      <c r="J220" s="242">
        <v>39.85</v>
      </c>
      <c r="K220" s="242">
        <v>152.67000000000002</v>
      </c>
      <c r="L220" s="242">
        <v>7.125</v>
      </c>
      <c r="M220" s="242">
        <v>104.38</v>
      </c>
      <c r="N220" s="243">
        <v>4.4282081713747007E-4</v>
      </c>
      <c r="O220" s="240">
        <v>-0.012277337363598354</v>
      </c>
      <c r="P220" s="240">
        <v>-0.0031620307753097063</v>
      </c>
      <c r="Q220" s="240">
        <v>-0.001962446886949917</v>
      </c>
      <c r="R220" s="240">
        <v>0.003533370251132272</v>
      </c>
    </row>
    <row r="221">
      <c r="A221" s="236">
        <v>43183.0</v>
      </c>
      <c r="B221" s="33">
        <v>-0.07325053580673792</v>
      </c>
      <c r="C221" s="33">
        <v>0.011700582191565754</v>
      </c>
      <c r="D221" s="33">
        <v>-0.06154995361517217</v>
      </c>
      <c r="E221" s="33">
        <v>-0.001886354987927219</v>
      </c>
      <c r="F221" s="237">
        <v>-416.72871102508907</v>
      </c>
      <c r="G221" s="237">
        <v>-13597.458059518978</v>
      </c>
      <c r="H221" s="240">
        <v>-0.0031961159915202797</v>
      </c>
      <c r="I221" s="241">
        <v>3.902</v>
      </c>
      <c r="J221" s="242">
        <v>39.85</v>
      </c>
      <c r="K221" s="242">
        <v>152.67000000000002</v>
      </c>
      <c r="L221" s="242">
        <v>7.125</v>
      </c>
      <c r="M221" s="242">
        <v>104.38</v>
      </c>
      <c r="N221" s="243">
        <v>0.0037672889022438458</v>
      </c>
      <c r="O221" s="240">
        <v>-0.020858466943493994</v>
      </c>
      <c r="P221" s="240">
        <v>-0.002686211067722547</v>
      </c>
      <c r="Q221" s="240">
        <v>-0.004706505302837558</v>
      </c>
      <c r="R221" s="240">
        <v>0.002887813296869973</v>
      </c>
    </row>
    <row r="222">
      <c r="A222" s="236">
        <v>43182.0</v>
      </c>
      <c r="B222" s="33">
        <v>-0.07180009850816664</v>
      </c>
      <c r="C222" s="33">
        <v>0.012136499880921688</v>
      </c>
      <c r="D222" s="33">
        <v>-0.05966359862724495</v>
      </c>
      <c r="E222" s="33">
        <v>-0.0020913648418720773</v>
      </c>
      <c r="F222" s="237">
        <v>-462.01896271613623</v>
      </c>
      <c r="G222" s="237">
        <v>-13180.72934849389</v>
      </c>
      <c r="H222" s="240">
        <v>-0.0023756789383295083</v>
      </c>
      <c r="I222" s="241">
        <v>3.899</v>
      </c>
      <c r="J222" s="242">
        <v>40.480000000000004</v>
      </c>
      <c r="K222" s="242">
        <v>153.9</v>
      </c>
      <c r="L222" s="242">
        <v>7.154</v>
      </c>
      <c r="M222" s="242">
        <v>104.65</v>
      </c>
      <c r="N222" s="243">
        <v>0.0031728455429297846</v>
      </c>
      <c r="O222" s="240">
        <v>-0.01448008403778978</v>
      </c>
      <c r="P222" s="240">
        <v>-6.287936777279609E-4</v>
      </c>
      <c r="Q222" s="240">
        <v>-8.126457346440951E-4</v>
      </c>
      <c r="R222" s="240">
        <v>0.0070360240529203505</v>
      </c>
    </row>
    <row r="223">
      <c r="A223" s="236">
        <v>43181.0</v>
      </c>
      <c r="B223" s="33">
        <v>-0.06591486064230934</v>
      </c>
      <c r="C223" s="33">
        <v>0.008342626856936467</v>
      </c>
      <c r="D223" s="33">
        <v>-0.05757223378537287</v>
      </c>
      <c r="E223" s="33">
        <v>-0.0056106281447615425</v>
      </c>
      <c r="F223" s="237">
        <v>-1239.48559511418</v>
      </c>
      <c r="G223" s="237">
        <v>-12718.710385777753</v>
      </c>
      <c r="H223" s="240">
        <v>-0.0036469586955718003</v>
      </c>
      <c r="I223" s="241">
        <v>3.897</v>
      </c>
      <c r="J223" s="242">
        <v>41.331</v>
      </c>
      <c r="K223" s="242">
        <v>154.12</v>
      </c>
      <c r="L223" s="242">
        <v>7.167</v>
      </c>
      <c r="M223" s="242">
        <v>103.27</v>
      </c>
      <c r="N223" s="243">
        <v>2.679984520363073E-4</v>
      </c>
      <c r="O223" s="240">
        <v>-0.004624651667033448</v>
      </c>
      <c r="P223" s="240">
        <v>4.530200043218542E-4</v>
      </c>
      <c r="Q223" s="240">
        <v>0.0018848344777288018</v>
      </c>
      <c r="R223" s="240">
        <v>0.0024452024782041543</v>
      </c>
    </row>
    <row r="224">
      <c r="A224" s="236">
        <v>43180.0</v>
      </c>
      <c r="B224" s="33">
        <v>-0.060313745184955934</v>
      </c>
      <c r="C224" s="33">
        <v>0.008352139544344606</v>
      </c>
      <c r="D224" s="33">
        <v>-0.05196160564061133</v>
      </c>
      <c r="E224" s="33">
        <v>5.749561716450954E-4</v>
      </c>
      <c r="F224" s="237">
        <v>127.01784438191135</v>
      </c>
      <c r="G224" s="237">
        <v>-11479.224790663573</v>
      </c>
      <c r="H224" s="240">
        <v>-0.0028333961793387008</v>
      </c>
      <c r="I224" s="241">
        <v>3.858</v>
      </c>
      <c r="J224" s="242">
        <v>42.395</v>
      </c>
      <c r="K224" s="242">
        <v>153.9</v>
      </c>
      <c r="L224" s="242">
        <v>7.226</v>
      </c>
      <c r="M224" s="242">
        <v>103.47</v>
      </c>
      <c r="N224" s="243">
        <v>-0.003056469633070068</v>
      </c>
      <c r="O224" s="240">
        <v>0.003956477912862192</v>
      </c>
      <c r="P224" s="240">
        <v>-2.2799703265304857E-5</v>
      </c>
      <c r="Q224" s="240">
        <v>0.004628892893616443</v>
      </c>
      <c r="R224" s="240">
        <v>0.0030907594324664535</v>
      </c>
    </row>
    <row r="225">
      <c r="A225" s="236">
        <v>43179.0</v>
      </c>
      <c r="B225" s="33">
        <v>-0.06089823576247357</v>
      </c>
      <c r="C225" s="33">
        <v>0.008361673950217145</v>
      </c>
      <c r="D225" s="33">
        <v>-0.052536561812256424</v>
      </c>
      <c r="E225" s="33">
        <v>-0.005905204113598954</v>
      </c>
      <c r="F225" s="237">
        <v>-1304.5625634357548</v>
      </c>
      <c r="G225" s="237">
        <v>-11606.242635045484</v>
      </c>
      <c r="H225" s="240">
        <v>-0.003247363716147931</v>
      </c>
      <c r="I225" s="241">
        <v>3.862</v>
      </c>
      <c r="J225" s="242">
        <v>42.254</v>
      </c>
      <c r="K225" s="242">
        <v>154.19</v>
      </c>
      <c r="L225" s="242">
        <v>7.171</v>
      </c>
      <c r="M225" s="242">
        <v>102.45</v>
      </c>
      <c r="N225" s="243">
        <v>-0.0023136500458470276</v>
      </c>
      <c r="O225" s="240">
        <v>-0.003923362126624786</v>
      </c>
      <c r="P225" s="240">
        <v>2.055646463539489E-5</v>
      </c>
      <c r="Q225" s="240">
        <v>-0.001416521068091926</v>
      </c>
      <c r="R225" s="240">
        <v>3.2402890474961765E-5</v>
      </c>
    </row>
    <row r="226">
      <c r="A226" s="236">
        <v>43178.0</v>
      </c>
      <c r="B226" s="33">
        <v>-0.055002587847674866</v>
      </c>
      <c r="C226" s="33">
        <v>0.008371230149017396</v>
      </c>
      <c r="D226" s="33">
        <v>-0.04663135769865747</v>
      </c>
      <c r="E226" s="33">
        <v>-0.0031699405960622443</v>
      </c>
      <c r="F226" s="237">
        <v>-700.2951549828285</v>
      </c>
      <c r="G226" s="237">
        <v>-10301.68007160973</v>
      </c>
      <c r="H226" s="240">
        <v>-2.7786971954031164E-4</v>
      </c>
      <c r="I226" s="241">
        <v>3.893</v>
      </c>
      <c r="J226" s="242">
        <v>41.893</v>
      </c>
      <c r="K226" s="242">
        <v>153.91</v>
      </c>
      <c r="L226" s="242">
        <v>7.126</v>
      </c>
      <c r="M226" s="242">
        <v>102.51</v>
      </c>
      <c r="N226" s="243">
        <v>-0.00140688027955732</v>
      </c>
      <c r="O226" s="240">
        <v>-0.0056482541131911215</v>
      </c>
      <c r="P226" s="240">
        <v>-2.604610486311012E-4</v>
      </c>
      <c r="Q226" s="240">
        <v>-0.0029528011339367364</v>
      </c>
      <c r="R226" s="240">
        <v>2.27620069586731E-4</v>
      </c>
    </row>
    <row r="227">
      <c r="A227" s="236">
        <v>43176.0</v>
      </c>
      <c r="B227" s="33">
        <v>-0.05185182532755538</v>
      </c>
      <c r="C227" s="33">
        <v>0.00839040822496016</v>
      </c>
      <c r="D227" s="33">
        <v>-0.043461417102595226</v>
      </c>
      <c r="E227" s="33">
        <v>-6.669464387825952E-4</v>
      </c>
      <c r="F227" s="237">
        <v>-147.3400985156295</v>
      </c>
      <c r="G227" s="237">
        <v>-9601.384916626901</v>
      </c>
      <c r="H227" s="240">
        <v>0.0010730228157254985</v>
      </c>
      <c r="I227" s="241">
        <v>3.893</v>
      </c>
      <c r="J227" s="242">
        <v>41.893</v>
      </c>
      <c r="K227" s="242">
        <v>153.91</v>
      </c>
      <c r="L227" s="242">
        <v>7.126</v>
      </c>
      <c r="M227" s="242">
        <v>102.51</v>
      </c>
      <c r="N227" s="243">
        <v>-8.914543168152741E-4</v>
      </c>
      <c r="O227" s="240">
        <v>-0.0040050616249282045</v>
      </c>
      <c r="P227" s="240">
        <v>8.648608583567371E-4</v>
      </c>
      <c r="Q227" s="240">
        <v>-0.0021181927043916076</v>
      </c>
      <c r="R227" s="240">
        <v>-2.6047052002671977E-4</v>
      </c>
    </row>
    <row r="228">
      <c r="A228" s="236">
        <v>43175.0</v>
      </c>
      <c r="B228" s="33">
        <v>-0.05119450091655371</v>
      </c>
      <c r="C228" s="33">
        <v>0.008400030252741079</v>
      </c>
      <c r="D228" s="33">
        <v>-0.04279447066381263</v>
      </c>
      <c r="E228" s="33">
        <v>0.0030032778762239046</v>
      </c>
      <c r="F228" s="237">
        <v>663.4764539118896</v>
      </c>
      <c r="G228" s="237">
        <v>-9454.044818111272</v>
      </c>
      <c r="H228" s="240">
        <v>3.1103646320851386E-4</v>
      </c>
      <c r="I228" s="241">
        <v>3.889</v>
      </c>
      <c r="J228" s="242">
        <v>42.744</v>
      </c>
      <c r="K228" s="242">
        <v>154.18</v>
      </c>
      <c r="L228" s="242">
        <v>7.2010000000000005</v>
      </c>
      <c r="M228" s="242">
        <v>102.44</v>
      </c>
      <c r="N228" s="243">
        <v>0.0024261482147707263</v>
      </c>
      <c r="O228" s="240">
        <v>3.363387614919537E-4</v>
      </c>
      <c r="P228" s="240">
        <v>0.003186747144177729</v>
      </c>
      <c r="Q228" s="240">
        <v>0.0012971197921389439</v>
      </c>
      <c r="R228" s="240">
        <v>-3.581234063272103E-4</v>
      </c>
    </row>
    <row r="229">
      <c r="A229" s="236">
        <v>43174.0</v>
      </c>
      <c r="B229" s="33">
        <v>-0.05420742291476698</v>
      </c>
      <c r="C229" s="33">
        <v>0.008409674374730449</v>
      </c>
      <c r="D229" s="33">
        <v>-0.045797748540036536</v>
      </c>
      <c r="E229" s="33">
        <v>8.827370097351864E-4</v>
      </c>
      <c r="F229" s="237">
        <v>195.01199858744803</v>
      </c>
      <c r="G229" s="237">
        <v>-10117.521272023161</v>
      </c>
      <c r="H229" s="240">
        <v>-5.275824718997841E-4</v>
      </c>
      <c r="I229" s="241">
        <v>3.91</v>
      </c>
      <c r="J229" s="242">
        <v>42.6</v>
      </c>
      <c r="K229" s="242">
        <v>154.03</v>
      </c>
      <c r="L229" s="242">
        <v>7.189</v>
      </c>
      <c r="M229" s="242">
        <v>102.44</v>
      </c>
      <c r="N229" s="243">
        <v>0.005545023476155</v>
      </c>
      <c r="O229" s="240">
        <v>-0.0038702265739601533</v>
      </c>
      <c r="P229" s="240">
        <v>0.001443639612651538</v>
      </c>
      <c r="Q229" s="240">
        <v>-7.454165624274956E-4</v>
      </c>
      <c r="R229" s="240">
        <v>-4.556368144208269E-4</v>
      </c>
    </row>
    <row r="230">
      <c r="A230" s="236">
        <v>43173.0</v>
      </c>
      <c r="B230" s="33">
        <v>-0.05509982621688692</v>
      </c>
      <c r="C230" s="33">
        <v>0.008419340667115197</v>
      </c>
      <c r="D230" s="33">
        <v>-0.04668048554977172</v>
      </c>
      <c r="E230" s="33">
        <v>-0.0029529054963335494</v>
      </c>
      <c r="F230" s="237">
        <v>-652.3483168023213</v>
      </c>
      <c r="G230" s="237">
        <v>-10312.53327061061</v>
      </c>
      <c r="H230" s="240">
        <v>-3.8553455601422065E-4</v>
      </c>
      <c r="I230" s="241">
        <v>3.903</v>
      </c>
      <c r="J230" s="242">
        <v>42.39</v>
      </c>
      <c r="K230" s="242">
        <v>153.51</v>
      </c>
      <c r="L230" s="242">
        <v>7.171</v>
      </c>
      <c r="M230" s="242">
        <v>102.59</v>
      </c>
      <c r="N230" s="243">
        <v>0.005029597513412954</v>
      </c>
      <c r="O230" s="240">
        <v>-0.00551341906222307</v>
      </c>
      <c r="P230" s="240">
        <v>3.183177056636996E-4</v>
      </c>
      <c r="Q230" s="240">
        <v>-0.0015800249919726242</v>
      </c>
      <c r="R230" s="240">
        <v>3.2453775192623975E-5</v>
      </c>
    </row>
    <row r="231">
      <c r="A231" s="236">
        <v>43172.0</v>
      </c>
      <c r="B231" s="33">
        <v>-0.05215660925987111</v>
      </c>
      <c r="C231" s="33">
        <v>0.008429029206432934</v>
      </c>
      <c r="D231" s="33">
        <v>-0.04372758005343817</v>
      </c>
      <c r="E231" s="33">
        <v>4.8742107089901066E-4</v>
      </c>
      <c r="F231" s="237">
        <v>107.67981419309035</v>
      </c>
      <c r="G231" s="237">
        <v>-9660.184953808288</v>
      </c>
      <c r="H231" s="240">
        <v>0.0013457917544631229</v>
      </c>
      <c r="I231" s="241">
        <v>3.86</v>
      </c>
      <c r="J231" s="242">
        <v>42.699</v>
      </c>
      <c r="K231" s="242">
        <v>152.71</v>
      </c>
      <c r="L231" s="242">
        <v>7.173</v>
      </c>
      <c r="M231" s="242">
        <v>102.55</v>
      </c>
      <c r="N231" s="243">
        <v>0.0013422818791946052</v>
      </c>
      <c r="O231" s="240">
        <v>-0.0030836007088378583</v>
      </c>
      <c r="P231" s="240">
        <v>-0.0014188112544474398</v>
      </c>
      <c r="Q231" s="240">
        <v>-0.001487057948789443</v>
      </c>
      <c r="R231" s="240">
        <v>-9.751340809361656E-5</v>
      </c>
    </row>
    <row r="232">
      <c r="A232" s="236">
        <v>43171.0</v>
      </c>
      <c r="B232" s="33">
        <v>-0.05265374119391117</v>
      </c>
      <c r="C232" s="33">
        <v>0.008438740069573984</v>
      </c>
      <c r="D232" s="33">
        <v>-0.04421500112433718</v>
      </c>
      <c r="E232" s="33">
        <v>0.0013088807573918768</v>
      </c>
      <c r="F232" s="237">
        <v>289.1545835245015</v>
      </c>
      <c r="G232" s="237">
        <v>-9767.864768001378</v>
      </c>
      <c r="H232" s="240">
        <v>0.0012099982349498227</v>
      </c>
      <c r="I232" s="241">
        <v>3.845</v>
      </c>
      <c r="J232" s="242">
        <v>43.094</v>
      </c>
      <c r="K232" s="242">
        <v>153.36</v>
      </c>
      <c r="L232" s="242">
        <v>7.205</v>
      </c>
      <c r="M232" s="242">
        <v>102.58</v>
      </c>
      <c r="N232" s="243">
        <v>0.001796945193171625</v>
      </c>
      <c r="O232" s="240">
        <v>0.0021658080784641414</v>
      </c>
      <c r="P232" s="240">
        <v>7.824726134585586E-4</v>
      </c>
      <c r="Q232" s="240">
        <v>-0.0015267175572519253</v>
      </c>
      <c r="R232" s="240">
        <v>-9.748488984207356E-4</v>
      </c>
    </row>
    <row r="233">
      <c r="A233" s="236">
        <v>43170.0</v>
      </c>
      <c r="B233" s="33">
        <v>-0.053972355215512476</v>
      </c>
      <c r="C233" s="33">
        <v>0.008448473333783416</v>
      </c>
      <c r="D233" s="33">
        <v>-0.04552388188172906</v>
      </c>
      <c r="E233" s="33">
        <v>0.0022410734350984812</v>
      </c>
      <c r="F233" s="237">
        <v>495.0922015730339</v>
      </c>
      <c r="G233" s="237">
        <v>-10057.01935152588</v>
      </c>
      <c r="H233" s="240">
        <v>0.004559742293743671</v>
      </c>
      <c r="I233" s="241">
        <v>3.845</v>
      </c>
      <c r="J233" s="242">
        <v>43.094</v>
      </c>
      <c r="K233" s="242">
        <v>153.36</v>
      </c>
      <c r="L233" s="242">
        <v>7.205</v>
      </c>
      <c r="M233" s="242">
        <v>102.58</v>
      </c>
      <c r="N233" s="243">
        <v>-8.37803376536306E-4</v>
      </c>
      <c r="O233" s="240">
        <v>0.007203101175737606</v>
      </c>
      <c r="P233" s="240">
        <v>-2.4149252815363928E-4</v>
      </c>
      <c r="Q233" s="240">
        <v>3.614651819946607E-4</v>
      </c>
      <c r="R233" s="240">
        <v>-4.5644558063951285E-4</v>
      </c>
    </row>
    <row r="234">
      <c r="A234" s="236">
        <v>43169.0</v>
      </c>
      <c r="B234" s="33">
        <v>-0.05622318439349062</v>
      </c>
      <c r="C234" s="33">
        <v>0.008458229076663075</v>
      </c>
      <c r="D234" s="33">
        <v>-0.04776495531682754</v>
      </c>
      <c r="E234" s="33">
        <v>8.004051235910997E-5</v>
      </c>
      <c r="F234" s="237">
        <v>17.68234492376905</v>
      </c>
      <c r="G234" s="237">
        <v>-10552.111553098914</v>
      </c>
      <c r="H234" s="240">
        <v>0.005860506637101292</v>
      </c>
      <c r="I234" s="241">
        <v>3.845</v>
      </c>
      <c r="J234" s="242">
        <v>43.094</v>
      </c>
      <c r="K234" s="242">
        <v>153.36</v>
      </c>
      <c r="L234" s="242">
        <v>7.205</v>
      </c>
      <c r="M234" s="242">
        <v>102.58</v>
      </c>
      <c r="N234" s="243">
        <v>5.812719838341349E-4</v>
      </c>
      <c r="O234" s="240">
        <v>0.010475802577307564</v>
      </c>
      <c r="P234" s="240">
        <v>0.0020608032516947618</v>
      </c>
      <c r="Q234" s="240">
        <v>-9.816870573643277E-4</v>
      </c>
      <c r="R234" s="240">
        <v>6.7932804345185E-4</v>
      </c>
    </row>
    <row r="235">
      <c r="A235" s="236">
        <v>43168.0</v>
      </c>
      <c r="B235" s="33">
        <v>-0.057090324338989036</v>
      </c>
      <c r="C235" s="33">
        <v>0.009245328509802383</v>
      </c>
      <c r="D235" s="33">
        <v>-0.04784499582918665</v>
      </c>
      <c r="E235" s="33">
        <v>0.011358112933773423</v>
      </c>
      <c r="F235" s="237">
        <v>2509.2052094446117</v>
      </c>
      <c r="G235" s="237">
        <v>-10569.793898022683</v>
      </c>
      <c r="H235" s="240">
        <v>0.002450964004603424</v>
      </c>
      <c r="I235" s="241">
        <v>3.824</v>
      </c>
      <c r="J235" s="242">
        <v>42.814</v>
      </c>
      <c r="K235" s="242">
        <v>153.0</v>
      </c>
      <c r="L235" s="242">
        <v>7.238</v>
      </c>
      <c r="M235" s="242">
        <v>102.88</v>
      </c>
      <c r="N235" s="243">
        <v>-0.00204075571758831</v>
      </c>
      <c r="O235" s="240">
        <v>0.009052456118367741</v>
      </c>
      <c r="P235" s="240">
        <v>0.0013002014691090482</v>
      </c>
      <c r="Q235" s="240">
        <v>-0.001023379870072722</v>
      </c>
      <c r="R235" s="240">
        <v>-0.0012112458708003835</v>
      </c>
    </row>
    <row r="236">
      <c r="A236" s="236">
        <v>43167.0</v>
      </c>
      <c r="B236" s="33">
        <v>-0.06845913788446362</v>
      </c>
      <c r="C236" s="33">
        <v>0.009256029121503546</v>
      </c>
      <c r="D236" s="33">
        <v>-0.059203108762960074</v>
      </c>
      <c r="E236" s="33">
        <v>0.006143366465171343</v>
      </c>
      <c r="F236" s="237">
        <v>1357.1767799648078</v>
      </c>
      <c r="G236" s="237">
        <v>-13078.999107467294</v>
      </c>
      <c r="H236" s="240">
        <v>-6.63830271541733E-4</v>
      </c>
      <c r="I236" s="241">
        <v>3.854</v>
      </c>
      <c r="J236" s="242">
        <v>42.167</v>
      </c>
      <c r="K236" s="242">
        <v>153.47</v>
      </c>
      <c r="L236" s="242">
        <v>7.197</v>
      </c>
      <c r="M236" s="242">
        <v>102.72</v>
      </c>
      <c r="N236" s="243">
        <v>7.023677280800689E-5</v>
      </c>
      <c r="O236" s="240">
        <v>0.003023004275695051</v>
      </c>
      <c r="P236" s="240">
        <v>6.837466632146844E-4</v>
      </c>
      <c r="Q236" s="240">
        <v>-0.0035084404789244867</v>
      </c>
      <c r="R236" s="240">
        <v>2.396809163417174E-4</v>
      </c>
    </row>
    <row r="237">
      <c r="A237" s="236">
        <v>43166.0</v>
      </c>
      <c r="B237" s="33">
        <v>-0.07461322975997274</v>
      </c>
      <c r="C237" s="33">
        <v>0.009266754531841325</v>
      </c>
      <c r="D237" s="33">
        <v>-0.06534647522813142</v>
      </c>
      <c r="E237" s="33">
        <v>-0.010148587385134494</v>
      </c>
      <c r="F237" s="237">
        <v>-2241.9999240862726</v>
      </c>
      <c r="G237" s="237">
        <v>-14436.175887432102</v>
      </c>
      <c r="H237" s="240">
        <v>-0.0011590757182954256</v>
      </c>
      <c r="I237" s="241">
        <v>3.838</v>
      </c>
      <c r="J237" s="242">
        <v>41.753</v>
      </c>
      <c r="K237" s="242">
        <v>152.41</v>
      </c>
      <c r="L237" s="242">
        <v>7.226</v>
      </c>
      <c r="M237" s="242">
        <v>102.37</v>
      </c>
      <c r="N237" s="243">
        <v>-0.001348838587562434</v>
      </c>
      <c r="O237" s="240">
        <v>-2.496971258749087E-4</v>
      </c>
      <c r="P237" s="240">
        <v>-0.0016185491166337167</v>
      </c>
      <c r="Q237" s="240">
        <v>-0.0021652882395654985</v>
      </c>
      <c r="R237" s="240">
        <v>-8.960927077496453E-4</v>
      </c>
    </row>
    <row r="238">
      <c r="A238" s="236">
        <v>43165.0</v>
      </c>
      <c r="B238" s="33">
        <v>-0.0644753926701188</v>
      </c>
      <c r="C238" s="33">
        <v>0.00927750482712188</v>
      </c>
      <c r="D238" s="33">
        <v>-0.05519788784299692</v>
      </c>
      <c r="E238" s="33">
        <v>0.002013730105337952</v>
      </c>
      <c r="F238" s="237">
        <v>444.86809562394046</v>
      </c>
      <c r="G238" s="237">
        <v>-12194.17596334583</v>
      </c>
      <c r="H238" s="240">
        <v>0.0015569226058164641</v>
      </c>
      <c r="I238" s="241">
        <v>3.847</v>
      </c>
      <c r="J238" s="242">
        <v>41.660000000000004</v>
      </c>
      <c r="K238" s="242">
        <v>152.4</v>
      </c>
      <c r="L238" s="242">
        <v>7.26</v>
      </c>
      <c r="M238" s="242">
        <v>103.25</v>
      </c>
      <c r="N238" s="243">
        <v>-5.237560793116141E-4</v>
      </c>
      <c r="O238" s="240">
        <v>-9.921587453992256E-4</v>
      </c>
      <c r="P238" s="240">
        <v>-0.0016404199475065617</v>
      </c>
      <c r="Q238" s="240">
        <v>-5.968778696051786E-4</v>
      </c>
      <c r="R238" s="240">
        <v>0.0019693301049233235</v>
      </c>
    </row>
    <row r="239">
      <c r="A239" s="236">
        <v>43164.0</v>
      </c>
      <c r="B239" s="33">
        <v>-0.06635254671953905</v>
      </c>
      <c r="C239" s="33">
        <v>0.009140928771204173</v>
      </c>
      <c r="D239" s="33">
        <v>-0.057211617948334875</v>
      </c>
      <c r="E239" s="33">
        <v>0.004657630124910266</v>
      </c>
      <c r="F239" s="237">
        <v>1028.9517141830638</v>
      </c>
      <c r="G239" s="237">
        <v>-12639.04405896977</v>
      </c>
      <c r="H239" s="240">
        <v>-7.715390100531497E-4</v>
      </c>
      <c r="I239" s="241">
        <v>3.853</v>
      </c>
      <c r="J239" s="242">
        <v>41.784</v>
      </c>
      <c r="K239" s="242">
        <v>153.15</v>
      </c>
      <c r="L239" s="242">
        <v>7.273000000000001</v>
      </c>
      <c r="M239" s="242">
        <v>102.64</v>
      </c>
      <c r="N239" s="243">
        <v>0.0011952786493351119</v>
      </c>
      <c r="O239" s="240">
        <v>0.004778543621162779</v>
      </c>
      <c r="P239" s="240">
        <v>-6.094243116770076E-4</v>
      </c>
      <c r="Q239" s="240">
        <v>0.0012832852101379746</v>
      </c>
      <c r="R239" s="240">
        <v>-2.2733177448690372E-4</v>
      </c>
    </row>
    <row r="240">
      <c r="A240" s="236">
        <v>43163.0</v>
      </c>
      <c r="B240" s="33">
        <v>-0.07102080583139257</v>
      </c>
      <c r="C240" s="33">
        <v>0.009151557758147431</v>
      </c>
      <c r="D240" s="33">
        <v>-0.06186924807324514</v>
      </c>
      <c r="E240" s="33">
        <v>-0.0020005924127988253</v>
      </c>
      <c r="F240" s="237">
        <v>-441.9657502474274</v>
      </c>
      <c r="G240" s="237">
        <v>-13667.995773152834</v>
      </c>
      <c r="H240" s="240">
        <v>-0.006105455594220803</v>
      </c>
      <c r="I240" s="241">
        <v>3.853</v>
      </c>
      <c r="J240" s="242">
        <v>41.784</v>
      </c>
      <c r="K240" s="242">
        <v>153.15</v>
      </c>
      <c r="L240" s="242">
        <v>7.273000000000001</v>
      </c>
      <c r="M240" s="242">
        <v>102.64</v>
      </c>
      <c r="N240" s="243">
        <v>-4.301497613441729E-6</v>
      </c>
      <c r="O240" s="240">
        <v>-0.004286245339219215</v>
      </c>
      <c r="P240" s="240">
        <v>-0.00404204287823284</v>
      </c>
      <c r="Q240" s="240">
        <v>0.0012832852101379746</v>
      </c>
      <c r="R240" s="240">
        <v>-3.896009465895784E-4</v>
      </c>
    </row>
    <row r="241">
      <c r="A241" s="236">
        <v>43162.0</v>
      </c>
      <c r="B241" s="33">
        <v>-0.06903086715288728</v>
      </c>
      <c r="C241" s="33">
        <v>0.009162211492440968</v>
      </c>
      <c r="D241" s="33">
        <v>-0.059868655660446315</v>
      </c>
      <c r="E241" s="33">
        <v>-0.0049716547422708895</v>
      </c>
      <c r="F241" s="237">
        <v>-1098.3252281082641</v>
      </c>
      <c r="G241" s="237">
        <v>-13226.030022905406</v>
      </c>
      <c r="H241" s="240">
        <v>-0.0058126611882804435</v>
      </c>
      <c r="I241" s="241">
        <v>3.853</v>
      </c>
      <c r="J241" s="242">
        <v>41.784</v>
      </c>
      <c r="K241" s="242">
        <v>153.15</v>
      </c>
      <c r="L241" s="242">
        <v>7.273000000000001</v>
      </c>
      <c r="M241" s="242">
        <v>102.64</v>
      </c>
      <c r="N241" s="243">
        <v>0.0011162722361382114</v>
      </c>
      <c r="O241" s="240">
        <v>-0.007705856890257348</v>
      </c>
      <c r="P241" s="240">
        <v>-0.002816315505805269</v>
      </c>
      <c r="Q241" s="240">
        <v>-0.001615265514499694</v>
      </c>
      <c r="R241" s="240">
        <v>-0.0029522063702303986</v>
      </c>
    </row>
    <row r="242">
      <c r="A242" s="236">
        <v>43161.0</v>
      </c>
      <c r="B242" s="33">
        <v>-0.0640698909787894</v>
      </c>
      <c r="C242" s="33">
        <v>0.009172890060613977</v>
      </c>
      <c r="D242" s="33">
        <v>-0.054897000918175426</v>
      </c>
      <c r="E242" s="33">
        <v>-0.011344119627592693</v>
      </c>
      <c r="F242" s="237">
        <v>-2506.113844094507</v>
      </c>
      <c r="G242" s="237">
        <v>-12127.704794797142</v>
      </c>
      <c r="H242" s="240">
        <v>-0.0034927255191055753</v>
      </c>
      <c r="I242" s="241">
        <v>3.84</v>
      </c>
      <c r="J242" s="242">
        <v>41.185</v>
      </c>
      <c r="K242" s="242">
        <v>153.43</v>
      </c>
      <c r="L242" s="242">
        <v>7.245</v>
      </c>
      <c r="M242" s="242">
        <v>102.71000000000001</v>
      </c>
      <c r="N242" s="243">
        <v>0.002469528179412347</v>
      </c>
      <c r="O242" s="240">
        <v>-0.015331136903630166</v>
      </c>
      <c r="P242" s="240">
        <v>-6.313062852100416E-4</v>
      </c>
      <c r="Q242" s="240">
        <v>-0.0043581383911218885</v>
      </c>
      <c r="R242" s="240">
        <v>-0.0015982047100200302</v>
      </c>
    </row>
    <row r="243">
      <c r="A243" s="236">
        <v>43160.0</v>
      </c>
      <c r="B243" s="33">
        <v>-0.052717981180851886</v>
      </c>
      <c r="C243" s="33">
        <v>0.009165099890269155</v>
      </c>
      <c r="D243" s="33">
        <v>-0.04355288129058273</v>
      </c>
      <c r="E243" s="33">
        <v>-0.0011222091949777482</v>
      </c>
      <c r="F243" s="237">
        <v>-247.91558021507626</v>
      </c>
      <c r="G243" s="237">
        <v>-9621.590950702635</v>
      </c>
      <c r="H243" s="240">
        <v>0.002127921707928644</v>
      </c>
      <c r="I243" s="241">
        <v>3.853</v>
      </c>
      <c r="J243" s="242">
        <v>42.305</v>
      </c>
      <c r="K243" s="242">
        <v>155.01</v>
      </c>
      <c r="L243" s="242">
        <v>7.245</v>
      </c>
      <c r="M243" s="242">
        <v>102.76</v>
      </c>
      <c r="N243" s="243">
        <v>0.001025404119094479</v>
      </c>
      <c r="O243" s="240">
        <v>-0.0032194536101623167</v>
      </c>
      <c r="P243" s="240">
        <v>0.003018170867861511</v>
      </c>
      <c r="Q243" s="240">
        <v>-0.004403551651794019</v>
      </c>
      <c r="R243" s="240">
        <v>-0.002954023393214509</v>
      </c>
    </row>
    <row r="244">
      <c r="A244" s="236">
        <v>43159.0</v>
      </c>
      <c r="B244" s="33">
        <v>-0.05160647887826932</v>
      </c>
      <c r="C244" s="33">
        <v>0.009175806782664334</v>
      </c>
      <c r="D244" s="33">
        <v>-0.042430672095604985</v>
      </c>
      <c r="E244" s="33">
        <v>0.001988152265253715</v>
      </c>
      <c r="F244" s="237">
        <v>439.2175047238561</v>
      </c>
      <c r="G244" s="237">
        <v>-9373.67537048756</v>
      </c>
      <c r="H244" s="240">
        <v>0.0034422421576906503</v>
      </c>
      <c r="I244" s="241">
        <v>3.84</v>
      </c>
      <c r="J244" s="242">
        <v>42.739000000000004</v>
      </c>
      <c r="K244" s="242">
        <v>154.44</v>
      </c>
      <c r="L244" s="242">
        <v>7.308</v>
      </c>
      <c r="M244" s="242">
        <v>103.55</v>
      </c>
      <c r="N244" s="243">
        <v>-9.51696146571741E-5</v>
      </c>
      <c r="O244" s="240">
        <v>2.001579408758159E-4</v>
      </c>
      <c r="P244" s="240">
        <v>0.001792443495433941</v>
      </c>
      <c r="Q244" s="240">
        <v>-0.0015050009271563509</v>
      </c>
      <c r="R244" s="240">
        <v>-3.914179695736891E-4</v>
      </c>
    </row>
    <row r="245">
      <c r="A245" s="236">
        <v>43158.0</v>
      </c>
      <c r="B245" s="33">
        <v>-0.053605363081280534</v>
      </c>
      <c r="C245" s="33">
        <v>0.009186538720421838</v>
      </c>
      <c r="D245" s="33">
        <v>-0.0444188243608587</v>
      </c>
      <c r="E245" s="33">
        <v>0.005517822053509966</v>
      </c>
      <c r="F245" s="237">
        <v>1218.9831112073498</v>
      </c>
      <c r="G245" s="237">
        <v>-9812.892875211415</v>
      </c>
      <c r="H245" s="240">
        <v>0.004922366318072535</v>
      </c>
      <c r="I245" s="241">
        <v>3.811</v>
      </c>
      <c r="J245" s="242">
        <v>43.104</v>
      </c>
      <c r="K245" s="242">
        <v>153.71</v>
      </c>
      <c r="L245" s="242">
        <v>7.34</v>
      </c>
      <c r="M245" s="242">
        <v>103.2</v>
      </c>
      <c r="N245" s="243">
        <v>-9.950231521105568E-4</v>
      </c>
      <c r="O245" s="240">
        <v>0.007230145718397661</v>
      </c>
      <c r="P245" s="240">
        <v>3.9045839555595794E-4</v>
      </c>
      <c r="Q245" s="240">
        <v>-4.541326067213142E-5</v>
      </c>
      <c r="R245" s="240">
        <v>-0.001196554785620956</v>
      </c>
    </row>
    <row r="246">
      <c r="A246" s="236">
        <v>43157.0</v>
      </c>
      <c r="B246" s="33">
        <v>-0.059133942205891694</v>
      </c>
      <c r="C246" s="33">
        <v>0.00919729579152303</v>
      </c>
      <c r="D246" s="33">
        <v>-0.049936646414368666</v>
      </c>
      <c r="E246" s="33">
        <v>0.0028207521543082703</v>
      </c>
      <c r="F246" s="237">
        <v>623.153339063605</v>
      </c>
      <c r="G246" s="237">
        <v>-11031.875986418765</v>
      </c>
      <c r="H246" s="240">
        <v>0.0034256897670687583</v>
      </c>
      <c r="I246" s="241">
        <v>3.841</v>
      </c>
      <c r="J246" s="242">
        <v>42.71</v>
      </c>
      <c r="K246" s="242">
        <v>153.61</v>
      </c>
      <c r="L246" s="242">
        <v>7.341</v>
      </c>
      <c r="M246" s="242">
        <v>103.67</v>
      </c>
      <c r="N246" s="243">
        <v>0.00375743237312551</v>
      </c>
      <c r="O246" s="240">
        <v>0.004791841195779534</v>
      </c>
      <c r="P246" s="240">
        <v>0.001780234777233227</v>
      </c>
      <c r="Q246" s="240">
        <v>0.002451982018798541</v>
      </c>
      <c r="R246" s="240">
        <v>6.433765893569565E-4</v>
      </c>
    </row>
    <row r="247">
      <c r="A247" s="236">
        <v>43155.0</v>
      </c>
      <c r="B247" s="33">
        <v>-0.0619762842564242</v>
      </c>
      <c r="C247" s="33">
        <v>0.009218885687747263</v>
      </c>
      <c r="D247" s="33">
        <v>-0.052757398568676936</v>
      </c>
      <c r="E247" s="33">
        <v>0.006428524746399371</v>
      </c>
      <c r="F247" s="237">
        <v>1420.1732168681629</v>
      </c>
      <c r="G247" s="237">
        <v>-11655.02932548237</v>
      </c>
      <c r="H247" s="240">
        <v>0.001971337959135839</v>
      </c>
      <c r="I247" s="241">
        <v>3.841</v>
      </c>
      <c r="J247" s="242">
        <v>42.71</v>
      </c>
      <c r="K247" s="242">
        <v>153.61</v>
      </c>
      <c r="L247" s="242">
        <v>7.341</v>
      </c>
      <c r="M247" s="242">
        <v>103.67</v>
      </c>
      <c r="N247" s="243">
        <v>0.002544759946264791</v>
      </c>
      <c r="O247" s="240">
        <v>0.0033032157196965</v>
      </c>
      <c r="P247" s="240">
        <v>0.0014529882296842912</v>
      </c>
      <c r="Q247" s="240">
        <v>0.002451982018798541</v>
      </c>
      <c r="R247" s="240">
        <v>4.5008384749940593E-4</v>
      </c>
    </row>
    <row r="248">
      <c r="A248" s="236">
        <v>43154.0</v>
      </c>
      <c r="B248" s="33">
        <v>-0.06841564200598191</v>
      </c>
      <c r="C248" s="33">
        <v>0.009229718690905603</v>
      </c>
      <c r="D248" s="33">
        <v>-0.05918592331507631</v>
      </c>
      <c r="E248" s="33">
        <v>0.0010277924004986339</v>
      </c>
      <c r="F248" s="237">
        <v>227.05726387789764</v>
      </c>
      <c r="G248" s="237">
        <v>-13075.202542350533</v>
      </c>
      <c r="H248" s="240">
        <v>-0.0013054067144573727</v>
      </c>
      <c r="I248" s="241">
        <v>3.822</v>
      </c>
      <c r="J248" s="242">
        <v>42.174</v>
      </c>
      <c r="K248" s="242">
        <v>153.53</v>
      </c>
      <c r="L248" s="242">
        <v>7.341</v>
      </c>
      <c r="M248" s="242">
        <v>103.57000000000001</v>
      </c>
      <c r="N248" s="243">
        <v>-8.564592387376591E-5</v>
      </c>
      <c r="O248" s="240">
        <v>3.024167406753883E-4</v>
      </c>
      <c r="P248" s="240">
        <v>0.002565295748136324</v>
      </c>
      <c r="Q248" s="240">
        <v>0.003595571058641159</v>
      </c>
      <c r="R248" s="240">
        <v>4.505186454300026E-4</v>
      </c>
    </row>
    <row r="249">
      <c r="A249" s="236">
        <v>43153.0</v>
      </c>
      <c r="B249" s="33">
        <v>-0.06945429289905808</v>
      </c>
      <c r="C249" s="33">
        <v>0.00924057718348314</v>
      </c>
      <c r="D249" s="33">
        <v>-0.06021371571557494</v>
      </c>
      <c r="E249" s="33">
        <v>-0.0015423032694904873</v>
      </c>
      <c r="F249" s="237">
        <v>-340.7216868606447</v>
      </c>
      <c r="G249" s="237">
        <v>-13302.25980622843</v>
      </c>
      <c r="H249" s="240">
        <v>-6.029056289884848E-4</v>
      </c>
      <c r="I249" s="241">
        <v>3.798</v>
      </c>
      <c r="J249" s="242">
        <v>42.097</v>
      </c>
      <c r="K249" s="242">
        <v>152.79</v>
      </c>
      <c r="L249" s="242">
        <v>7.287</v>
      </c>
      <c r="M249" s="242">
        <v>103.47</v>
      </c>
      <c r="N249" s="243">
        <v>-0.0037003079413388935</v>
      </c>
      <c r="O249" s="240">
        <v>0.0018614627041089581</v>
      </c>
      <c r="P249" s="240">
        <v>0.001921356327476422</v>
      </c>
      <c r="Q249" s="240">
        <v>0.0020157087497480676</v>
      </c>
      <c r="R249" s="240">
        <v>-0.0024495581399054567</v>
      </c>
    </row>
    <row r="250">
      <c r="A250" s="236">
        <v>43152.0</v>
      </c>
      <c r="B250" s="33">
        <v>-0.06792287370163294</v>
      </c>
      <c r="C250" s="33">
        <v>0.009251461255548488</v>
      </c>
      <c r="D250" s="33">
        <v>-0.05867141244608445</v>
      </c>
      <c r="E250" s="33">
        <v>-0.0034017092743802643</v>
      </c>
      <c r="F250" s="237">
        <v>-751.4968975973443</v>
      </c>
      <c r="G250" s="237">
        <v>-12961.538119367786</v>
      </c>
      <c r="H250" s="240">
        <v>8.225827194759348E-5</v>
      </c>
      <c r="I250" s="241">
        <v>3.812</v>
      </c>
      <c r="J250" s="242">
        <v>42.285000000000004</v>
      </c>
      <c r="K250" s="242">
        <v>152.94</v>
      </c>
      <c r="L250" s="242">
        <v>7.287</v>
      </c>
      <c r="M250" s="242">
        <v>103.53</v>
      </c>
      <c r="N250" s="243">
        <v>-0.0024876355144781742</v>
      </c>
      <c r="O250" s="240">
        <v>0.0033500881801919913</v>
      </c>
      <c r="P250" s="240">
        <v>0.002248602875025358</v>
      </c>
      <c r="Q250" s="240">
        <v>0.003166244899593912</v>
      </c>
      <c r="R250" s="240">
        <v>-0.002256265398047906</v>
      </c>
    </row>
    <row r="251">
      <c r="A251" s="236">
        <v>43151.0</v>
      </c>
      <c r="B251" s="33">
        <v>-0.06453207416929932</v>
      </c>
      <c r="C251" s="33">
        <v>0.009262370997595129</v>
      </c>
      <c r="D251" s="33">
        <v>-0.05526970317170419</v>
      </c>
      <c r="E251" s="33">
        <v>0.0031352956569052973</v>
      </c>
      <c r="F251" s="237">
        <v>692.6414837858283</v>
      </c>
      <c r="G251" s="237">
        <v>-12210.041221770442</v>
      </c>
      <c r="H251" s="240">
        <v>0.003891489614565801</v>
      </c>
      <c r="I251" s="241">
        <v>3.823</v>
      </c>
      <c r="J251" s="242">
        <v>42.135</v>
      </c>
      <c r="K251" s="242">
        <v>152.35</v>
      </c>
      <c r="L251" s="242">
        <v>7.2620000000000005</v>
      </c>
      <c r="M251" s="242">
        <v>103.43</v>
      </c>
      <c r="N251" s="243">
        <v>-0.0031549624947132602</v>
      </c>
      <c r="O251" s="240">
        <v>0.0015465325991085666</v>
      </c>
      <c r="P251" s="240">
        <v>0.0013137806198346624</v>
      </c>
      <c r="Q251" s="240">
        <v>0.002022655859751294</v>
      </c>
      <c r="R251" s="240">
        <v>-0.0027381360447649924</v>
      </c>
    </row>
    <row r="252">
      <c r="A252" s="236">
        <v>43150.0</v>
      </c>
      <c r="B252" s="33">
        <v>-0.06767830532915337</v>
      </c>
      <c r="C252" s="33">
        <v>0.00927330650054388</v>
      </c>
      <c r="D252" s="33">
        <v>-0.058404998828609486</v>
      </c>
      <c r="E252" s="33">
        <v>5.131884333177475E-4</v>
      </c>
      <c r="F252" s="237">
        <v>113.37227388175052</v>
      </c>
      <c r="G252" s="237">
        <v>-12902.68270555627</v>
      </c>
      <c r="H252" s="240">
        <v>0.004511420480105975</v>
      </c>
      <c r="I252" s="241">
        <v>3.84</v>
      </c>
      <c r="J252" s="242">
        <v>41.861000000000004</v>
      </c>
      <c r="K252" s="242">
        <v>151.91</v>
      </c>
      <c r="L252" s="242">
        <v>7.243</v>
      </c>
      <c r="M252" s="242">
        <v>104.23</v>
      </c>
      <c r="N252" s="243">
        <v>-3.8105746389828065E-4</v>
      </c>
      <c r="O252" s="240">
        <v>0.005252506909695032</v>
      </c>
      <c r="P252" s="240">
        <v>0.0023499867746629073</v>
      </c>
      <c r="Q252" s="240">
        <v>0.0054915355033139995</v>
      </c>
      <c r="R252" s="240">
        <v>0.0012146017599511856</v>
      </c>
    </row>
    <row r="253">
      <c r="A253" s="236">
        <v>43148.0</v>
      </c>
      <c r="B253" s="33">
        <v>-0.06821344241691027</v>
      </c>
      <c r="C253" s="33">
        <v>0.009295255154983037</v>
      </c>
      <c r="D253" s="33">
        <v>-0.058918187261927234</v>
      </c>
      <c r="E253" s="33">
        <v>0.00802598475347436</v>
      </c>
      <c r="F253" s="237">
        <v>1773.079988882475</v>
      </c>
      <c r="G253" s="237">
        <v>-13016.05497943802</v>
      </c>
      <c r="H253" s="240">
        <v>0.0026336110608378128</v>
      </c>
      <c r="I253" s="241">
        <v>3.84</v>
      </c>
      <c r="J253" s="242">
        <v>41.861000000000004</v>
      </c>
      <c r="K253" s="242">
        <v>151.91</v>
      </c>
      <c r="L253" s="242">
        <v>7.218</v>
      </c>
      <c r="M253" s="242">
        <v>104.23</v>
      </c>
      <c r="N253" s="243">
        <v>9.666514309803996E-4</v>
      </c>
      <c r="O253" s="240">
        <v>0.007032442184775928</v>
      </c>
      <c r="P253" s="240">
        <v>2.2853357922401405E-4</v>
      </c>
      <c r="Q253" s="240">
        <v>0.004340999353468155</v>
      </c>
      <c r="R253" s="240">
        <v>3.158696142282298E-4</v>
      </c>
    </row>
    <row r="254">
      <c r="A254" s="236">
        <v>43147.0</v>
      </c>
      <c r="B254" s="33">
        <v>-0.07625044050587632</v>
      </c>
      <c r="C254" s="33">
        <v>0.009306268490474723</v>
      </c>
      <c r="D254" s="33">
        <v>-0.06694417201540159</v>
      </c>
      <c r="E254" s="33">
        <v>0.00499508825352582</v>
      </c>
      <c r="F254" s="237">
        <v>1103.502099377225</v>
      </c>
      <c r="G254" s="237">
        <v>-14789.134968320495</v>
      </c>
      <c r="H254" s="240">
        <v>0.001959300021563082</v>
      </c>
      <c r="I254" s="241">
        <v>3.859</v>
      </c>
      <c r="J254" s="242">
        <v>41.939</v>
      </c>
      <c r="K254" s="242">
        <v>151.75</v>
      </c>
      <c r="L254" s="242">
        <v>7.218</v>
      </c>
      <c r="M254" s="242">
        <v>104.28</v>
      </c>
      <c r="N254" s="243">
        <v>0.0013376999184249113</v>
      </c>
      <c r="O254" s="240">
        <v>0.009800934329798066</v>
      </c>
      <c r="P254" s="240">
        <v>-0.002647804018330098</v>
      </c>
      <c r="Q254" s="240">
        <v>0.0034987758835074677</v>
      </c>
      <c r="R254" s="240">
        <v>0.004157068209465771</v>
      </c>
    </row>
    <row r="255">
      <c r="A255" s="236">
        <v>43146.0</v>
      </c>
      <c r="B255" s="33">
        <v>-0.08125656822380366</v>
      </c>
      <c r="C255" s="33">
        <v>0.009317307954876237</v>
      </c>
      <c r="D255" s="33">
        <v>-0.07193926026892741</v>
      </c>
      <c r="E255" s="33">
        <v>-0.005120239824486741</v>
      </c>
      <c r="F255" s="237">
        <v>-1131.1502637911872</v>
      </c>
      <c r="G255" s="237">
        <v>-15892.63706769772</v>
      </c>
      <c r="H255" s="240">
        <v>-0.0013561707304371173</v>
      </c>
      <c r="I255" s="241">
        <v>3.845</v>
      </c>
      <c r="J255" s="242">
        <v>41.2</v>
      </c>
      <c r="K255" s="242">
        <v>150.84</v>
      </c>
      <c r="L255" s="242">
        <v>7.1240000000000006</v>
      </c>
      <c r="M255" s="242">
        <v>103.85000000000001</v>
      </c>
      <c r="N255" s="243">
        <v>-1.5496302668920235E-4</v>
      </c>
      <c r="O255" s="240">
        <v>0.002265405916725281</v>
      </c>
      <c r="P255" s="240">
        <v>-0.006891448011200251</v>
      </c>
      <c r="Q255" s="240">
        <v>3.245832135080129E-4</v>
      </c>
      <c r="R255" s="240">
        <v>0.0011317576886602494</v>
      </c>
    </row>
    <row r="256">
      <c r="A256" s="236">
        <v>43145.0</v>
      </c>
      <c r="B256" s="33">
        <v>-0.07614739408572413</v>
      </c>
      <c r="C256" s="33">
        <v>0.00932837364128346</v>
      </c>
      <c r="D256" s="33">
        <v>-0.06681902044444067</v>
      </c>
      <c r="E256" s="33">
        <v>0.006003051635650167</v>
      </c>
      <c r="F256" s="237">
        <v>1326.1787873185167</v>
      </c>
      <c r="G256" s="237">
        <v>-14761.486803906533</v>
      </c>
      <c r="H256" s="240">
        <v>0.0033765630623617906</v>
      </c>
      <c r="I256" s="241">
        <v>3.829</v>
      </c>
      <c r="J256" s="242">
        <v>40.980000000000004</v>
      </c>
      <c r="K256" s="242">
        <v>151.8</v>
      </c>
      <c r="L256" s="242">
        <v>7.1240000000000006</v>
      </c>
      <c r="M256" s="242">
        <v>104.13</v>
      </c>
      <c r="N256" s="243">
        <v>-0.0015026719215678827</v>
      </c>
      <c r="O256" s="240">
        <v>4.8547064164438405E-4</v>
      </c>
      <c r="P256" s="240">
        <v>-0.004769994815761358</v>
      </c>
      <c r="Q256" s="240">
        <v>-1.9061513785726837E-4</v>
      </c>
      <c r="R256" s="240">
        <v>0.0020304898343832052</v>
      </c>
    </row>
    <row r="257">
      <c r="A257" s="236">
        <v>43144.0</v>
      </c>
      <c r="B257" s="33">
        <v>-0.08216153772332588</v>
      </c>
      <c r="C257" s="33">
        <v>0.009339465643235042</v>
      </c>
      <c r="D257" s="33">
        <v>-0.07282207208009084</v>
      </c>
      <c r="E257" s="33">
        <v>-0.004951324002474777</v>
      </c>
      <c r="F257" s="237">
        <v>-1093.8338131605778</v>
      </c>
      <c r="G257" s="237">
        <v>-16087.66559122505</v>
      </c>
      <c r="H257" s="240">
        <v>0.0014061539290907792</v>
      </c>
      <c r="I257" s="241">
        <v>3.844</v>
      </c>
      <c r="J257" s="242">
        <v>40.716</v>
      </c>
      <c r="K257" s="242">
        <v>152.95000000000002</v>
      </c>
      <c r="L257" s="242">
        <v>7.142</v>
      </c>
      <c r="M257" s="242">
        <v>102.98</v>
      </c>
      <c r="N257" s="243">
        <v>-2.2466861379461648E-4</v>
      </c>
      <c r="O257" s="240">
        <v>-0.0016619183285850195</v>
      </c>
      <c r="P257" s="240">
        <v>-0.002244742290508821</v>
      </c>
      <c r="Q257" s="240">
        <v>6.516083321034183E-4</v>
      </c>
      <c r="R257" s="240">
        <v>-0.0016508059817440445</v>
      </c>
    </row>
    <row r="258">
      <c r="A258" s="236">
        <v>43143.0</v>
      </c>
      <c r="B258" s="33">
        <v>-0.07706953151007957</v>
      </c>
      <c r="C258" s="33">
        <v>0.009198783432463515</v>
      </c>
      <c r="D258" s="33">
        <v>-0.06787074807761606</v>
      </c>
      <c r="E258" s="33">
        <v>0.009077961553909983</v>
      </c>
      <c r="F258" s="237">
        <v>2005.4800084331728</v>
      </c>
      <c r="G258" s="237">
        <v>-14993.831778064472</v>
      </c>
      <c r="H258" s="240">
        <v>6.669042485390556E-4</v>
      </c>
      <c r="I258" s="241">
        <v>3.846</v>
      </c>
      <c r="J258" s="242">
        <v>40.919000000000004</v>
      </c>
      <c r="K258" s="242">
        <v>153.98</v>
      </c>
      <c r="L258" s="242">
        <v>7.117</v>
      </c>
      <c r="M258" s="242">
        <v>103.49000000000001</v>
      </c>
      <c r="N258" s="243">
        <v>0.00153420146684625</v>
      </c>
      <c r="O258" s="240">
        <v>0.005865245973753073</v>
      </c>
      <c r="P258" s="240">
        <v>-0.0012555743170108945</v>
      </c>
      <c r="Q258" s="240">
        <v>-2.8137867310116355E-4</v>
      </c>
      <c r="R258" s="240">
        <v>0.0012561600154604327</v>
      </c>
    </row>
    <row r="259">
      <c r="A259" s="236">
        <v>43142.0</v>
      </c>
      <c r="B259" s="33">
        <v>-0.08615845704901037</v>
      </c>
      <c r="C259" s="33">
        <v>0.009209747417484333</v>
      </c>
      <c r="D259" s="33">
        <v>-0.07694870963152604</v>
      </c>
      <c r="E259" s="33">
        <v>9.182423583713184E-5</v>
      </c>
      <c r="F259" s="237">
        <v>20.285574924218963</v>
      </c>
      <c r="G259" s="237">
        <v>-16999.311786497645</v>
      </c>
      <c r="H259" s="240">
        <v>-0.006019344767246558</v>
      </c>
      <c r="I259" s="241">
        <v>3.846</v>
      </c>
      <c r="J259" s="242">
        <v>40.919000000000004</v>
      </c>
      <c r="K259" s="242">
        <v>153.98</v>
      </c>
      <c r="L259" s="242">
        <v>7.128</v>
      </c>
      <c r="M259" s="242">
        <v>103.49000000000001</v>
      </c>
      <c r="N259" s="243">
        <v>0.0012710534648914275</v>
      </c>
      <c r="O259" s="240">
        <v>-0.0019624777673018672</v>
      </c>
      <c r="P259" s="240">
        <v>-5.007433991365105E-4</v>
      </c>
      <c r="Q259" s="240">
        <v>-0.00313554716155057</v>
      </c>
      <c r="R259" s="240">
        <v>0.0014824775065694123</v>
      </c>
    </row>
    <row r="260">
      <c r="A260" s="236">
        <v>43141.0</v>
      </c>
      <c r="B260" s="33">
        <v>-0.08626127143689702</v>
      </c>
      <c r="C260" s="33">
        <v>0.009220737569533836</v>
      </c>
      <c r="D260" s="33">
        <v>-0.07704053386736318</v>
      </c>
      <c r="E260" s="33">
        <v>-0.007169073044129948</v>
      </c>
      <c r="F260" s="237">
        <v>-1583.7732494920328</v>
      </c>
      <c r="G260" s="237">
        <v>-17019.597361421864</v>
      </c>
      <c r="H260" s="240">
        <v>-0.005646997883884289</v>
      </c>
      <c r="I260" s="241">
        <v>3.846</v>
      </c>
      <c r="J260" s="242">
        <v>40.919000000000004</v>
      </c>
      <c r="K260" s="242">
        <v>153.98</v>
      </c>
      <c r="L260" s="242">
        <v>7.128</v>
      </c>
      <c r="M260" s="242">
        <v>103.49000000000001</v>
      </c>
      <c r="N260" s="243">
        <v>-0.004889265068652251</v>
      </c>
      <c r="O260" s="240">
        <v>-0.0089948607567128</v>
      </c>
      <c r="P260" s="240">
        <v>-0.0011492097761548253</v>
      </c>
      <c r="Q260" s="240">
        <v>-0.00295023328617413</v>
      </c>
      <c r="R260" s="240">
        <v>0.001191300179577263</v>
      </c>
    </row>
    <row r="261">
      <c r="A261" s="236">
        <v>43140.0</v>
      </c>
      <c r="B261" s="33">
        <v>-0.07910321480563388</v>
      </c>
      <c r="C261" s="33">
        <v>0.009231753982400661</v>
      </c>
      <c r="D261" s="33">
        <v>-0.06987146082323323</v>
      </c>
      <c r="E261" s="33">
        <v>-0.01098078549344686</v>
      </c>
      <c r="F261" s="237">
        <v>-2425.846998053834</v>
      </c>
      <c r="G261" s="237">
        <v>-15435.82411192983</v>
      </c>
      <c r="H261" s="240">
        <v>-6.99300957726819E-5</v>
      </c>
      <c r="I261" s="241">
        <v>3.829</v>
      </c>
      <c r="J261" s="242">
        <v>40.199</v>
      </c>
      <c r="K261" s="242">
        <v>154.56</v>
      </c>
      <c r="L261" s="242">
        <v>7.123</v>
      </c>
      <c r="M261" s="242">
        <v>103.10000000000001</v>
      </c>
      <c r="N261" s="243">
        <v>-0.006202178639946386</v>
      </c>
      <c r="O261" s="240">
        <v>-0.0016254777047345233</v>
      </c>
      <c r="P261" s="240">
        <v>0.0011418962216534064</v>
      </c>
      <c r="Q261" s="240">
        <v>-0.0031840529644382477</v>
      </c>
      <c r="R261" s="240">
        <v>-4.527574309180951E-4</v>
      </c>
    </row>
    <row r="262">
      <c r="A262" s="236">
        <v>43139.0</v>
      </c>
      <c r="B262" s="33">
        <v>-0.06813347208010856</v>
      </c>
      <c r="C262" s="33">
        <v>0.009242796750322193</v>
      </c>
      <c r="D262" s="33">
        <v>-0.05889067532978637</v>
      </c>
      <c r="E262" s="33">
        <v>0.0012088648859239423</v>
      </c>
      <c r="F262" s="237">
        <v>267.05933344398363</v>
      </c>
      <c r="G262" s="237">
        <v>-13009.977113875997</v>
      </c>
      <c r="H262" s="240">
        <v>-6.596378458145665E-4</v>
      </c>
      <c r="I262" s="241">
        <v>3.832</v>
      </c>
      <c r="J262" s="242">
        <v>41.143</v>
      </c>
      <c r="K262" s="242">
        <v>154.21</v>
      </c>
      <c r="L262" s="242">
        <v>7.195</v>
      </c>
      <c r="M262" s="242">
        <v>103.03</v>
      </c>
      <c r="N262" s="243">
        <v>-0.0018793908387592293</v>
      </c>
      <c r="O262" s="240">
        <v>-0.008587597720134638</v>
      </c>
      <c r="P262" s="240">
        <v>0.0045637408431761246</v>
      </c>
      <c r="Q262" s="240">
        <v>-0.0014834387320495316</v>
      </c>
      <c r="R262" s="240">
        <v>-2.2705374160604755E-4</v>
      </c>
    </row>
    <row r="263">
      <c r="A263" s="236">
        <v>43138.0</v>
      </c>
      <c r="B263" s="33">
        <v>-0.06935340618369756</v>
      </c>
      <c r="C263" s="33">
        <v>0.009253865967987251</v>
      </c>
      <c r="D263" s="33">
        <v>-0.06009954021571031</v>
      </c>
      <c r="E263" s="33">
        <v>0.009562130320204872</v>
      </c>
      <c r="F263" s="237">
        <v>2112.4413318256393</v>
      </c>
      <c r="G263" s="237">
        <v>-13277.03644731998</v>
      </c>
      <c r="H263" s="240">
        <v>-0.004336956555463717</v>
      </c>
      <c r="I263" s="241">
        <v>3.903</v>
      </c>
      <c r="J263" s="242">
        <v>42.011</v>
      </c>
      <c r="K263" s="242">
        <v>154.51</v>
      </c>
      <c r="L263" s="242">
        <v>7.191</v>
      </c>
      <c r="M263" s="242">
        <v>103.12</v>
      </c>
      <c r="N263" s="243">
        <v>0.004280927694784448</v>
      </c>
      <c r="O263" s="240">
        <v>-0.0015552147307237054</v>
      </c>
      <c r="P263" s="240">
        <v>0.005212207220194439</v>
      </c>
      <c r="Q263" s="240">
        <v>-0.002867959286084695</v>
      </c>
      <c r="R263" s="240">
        <v>6.412358538610177E-5</v>
      </c>
    </row>
    <row r="264">
      <c r="A264" s="236">
        <v>43137.0</v>
      </c>
      <c r="B264" s="33">
        <v>-0.07892663226645398</v>
      </c>
      <c r="C264" s="33">
        <v>0.009264961730538793</v>
      </c>
      <c r="D264" s="33">
        <v>-0.06966167053591518</v>
      </c>
      <c r="E264" s="33">
        <v>-0.012749908743572513</v>
      </c>
      <c r="F264" s="237">
        <v>-2816.6771739156356</v>
      </c>
      <c r="G264" s="237">
        <v>-15389.47777914562</v>
      </c>
      <c r="H264" s="240">
        <v>-0.009413190672812169</v>
      </c>
      <c r="I264" s="241">
        <v>3.9</v>
      </c>
      <c r="J264" s="242">
        <v>40.343</v>
      </c>
      <c r="K264" s="242">
        <v>154.03</v>
      </c>
      <c r="L264" s="242">
        <v>7.191</v>
      </c>
      <c r="M264" s="242">
        <v>103.24000000000001</v>
      </c>
      <c r="N264" s="243">
        <v>0.001369659974081074</v>
      </c>
      <c r="O264" s="240">
        <v>-0.018959180539182774</v>
      </c>
      <c r="P264" s="240">
        <v>0.004746476109197651</v>
      </c>
      <c r="Q264" s="240">
        <v>-0.0019947573926153202</v>
      </c>
      <c r="R264" s="240">
        <v>0.0025535407407184913</v>
      </c>
    </row>
    <row r="265">
      <c r="A265" s="236">
        <v>43136.0</v>
      </c>
      <c r="B265" s="33">
        <v>-0.06635922179181371</v>
      </c>
      <c r="C265" s="33">
        <v>0.00944745999947104</v>
      </c>
      <c r="D265" s="33">
        <v>-0.05691176179234267</v>
      </c>
      <c r="E265" s="33">
        <v>-0.00982309124302351</v>
      </c>
      <c r="F265" s="237">
        <v>-2170.0921503036734</v>
      </c>
      <c r="G265" s="237">
        <v>-12572.800605229984</v>
      </c>
      <c r="H265" s="240">
        <v>-0.011156250722093232</v>
      </c>
      <c r="I265" s="241">
        <v>3.853</v>
      </c>
      <c r="J265" s="242">
        <v>42.133</v>
      </c>
      <c r="K265" s="242">
        <v>152.1</v>
      </c>
      <c r="L265" s="242">
        <v>7.227</v>
      </c>
      <c r="M265" s="242">
        <v>103.10000000000001</v>
      </c>
      <c r="N265" s="243">
        <v>-0.008471612024395217</v>
      </c>
      <c r="O265" s="240">
        <v>-0.0073651486283285855</v>
      </c>
      <c r="P265" s="240">
        <v>-0.0010327635327635303</v>
      </c>
      <c r="Q265" s="240">
        <v>-0.0020769954772914714</v>
      </c>
      <c r="R265" s="240">
        <v>-2.4108658904367438E-4</v>
      </c>
    </row>
    <row r="266">
      <c r="A266" s="236">
        <v>43134.0</v>
      </c>
      <c r="B266" s="33">
        <v>-0.05655886811798267</v>
      </c>
      <c r="C266" s="33">
        <v>0.009470197568663512</v>
      </c>
      <c r="D266" s="33">
        <v>-0.04708867054931916</v>
      </c>
      <c r="E266" s="33">
        <v>-0.005666572031840483</v>
      </c>
      <c r="F266" s="237">
        <v>-1251.8445753174547</v>
      </c>
      <c r="G266" s="237">
        <v>-10402.70845492631</v>
      </c>
      <c r="H266" s="240">
        <v>-0.006556044102539335</v>
      </c>
      <c r="I266" s="241">
        <v>3.853</v>
      </c>
      <c r="J266" s="242">
        <v>42.133</v>
      </c>
      <c r="K266" s="242">
        <v>152.1</v>
      </c>
      <c r="L266" s="242">
        <v>7.253</v>
      </c>
      <c r="M266" s="242">
        <v>103.10000000000001</v>
      </c>
      <c r="N266" s="243">
        <v>-0.008180173044431631</v>
      </c>
      <c r="O266" s="240">
        <v>-0.008510597404323665</v>
      </c>
      <c r="P266" s="240">
        <v>-0.002103310385574282</v>
      </c>
      <c r="Q266" s="240">
        <v>-0.002252926312384134</v>
      </c>
      <c r="R266" s="240">
        <v>-0.0011134332014309835</v>
      </c>
    </row>
    <row r="267">
      <c r="A267" s="236">
        <v>43133.0</v>
      </c>
      <c r="B267" s="33">
        <v>-0.051776280570347465</v>
      </c>
      <c r="C267" s="33">
        <v>0.010354182052868786</v>
      </c>
      <c r="D267" s="33">
        <v>-0.041422098517478675</v>
      </c>
      <c r="E267" s="33">
        <v>-0.017979088891415702</v>
      </c>
      <c r="F267" s="237">
        <v>-3971.894254833789</v>
      </c>
      <c r="G267" s="237">
        <v>-9150.863879608856</v>
      </c>
      <c r="H267" s="240">
        <v>-0.0074858045056308805</v>
      </c>
      <c r="I267" s="241">
        <v>3.884</v>
      </c>
      <c r="J267" s="242">
        <v>42.660000000000004</v>
      </c>
      <c r="K267" s="242">
        <v>151.84</v>
      </c>
      <c r="L267" s="242">
        <v>7.234</v>
      </c>
      <c r="M267" s="242">
        <v>102.45</v>
      </c>
      <c r="N267" s="243">
        <v>-0.005927734238750951</v>
      </c>
      <c r="O267" s="240">
        <v>-0.005544490831929832</v>
      </c>
      <c r="P267" s="240">
        <v>-0.004742016395507216</v>
      </c>
      <c r="Q267" s="240">
        <v>-0.003126128205853509</v>
      </c>
      <c r="R267" s="240">
        <v>-0.004117247167503136</v>
      </c>
    </row>
    <row r="268">
      <c r="A268" s="236">
        <v>43132.0</v>
      </c>
      <c r="B268" s="33">
        <v>-0.03378770573765816</v>
      </c>
      <c r="C268" s="33">
        <v>0.010344696111595187</v>
      </c>
      <c r="D268" s="33">
        <v>-0.023443009626062973</v>
      </c>
      <c r="E268" s="33">
        <v>0.00397752861563818</v>
      </c>
      <c r="F268" s="237">
        <v>878.7054311986494</v>
      </c>
      <c r="G268" s="237">
        <v>-5178.969624775067</v>
      </c>
      <c r="H268" s="240">
        <v>-0.00530646921313867</v>
      </c>
      <c r="I268" s="241">
        <v>3.951</v>
      </c>
      <c r="J268" s="242">
        <v>43.069</v>
      </c>
      <c r="K268" s="242">
        <v>152.57</v>
      </c>
      <c r="L268" s="242">
        <v>7.272</v>
      </c>
      <c r="M268" s="242">
        <v>103.17</v>
      </c>
      <c r="N268" s="243">
        <v>-0.0017483160078997095</v>
      </c>
      <c r="O268" s="240">
        <v>-0.007390217885336843</v>
      </c>
      <c r="P268" s="240">
        <v>-0.004048484173989856</v>
      </c>
      <c r="Q268" s="240">
        <v>-0.007126986322296964</v>
      </c>
      <c r="R268" s="240">
        <v>-0.002481672770315226</v>
      </c>
    </row>
    <row r="269">
      <c r="A269" s="236">
        <v>43131.0</v>
      </c>
      <c r="B269" s="33">
        <v>-0.03777772794763402</v>
      </c>
      <c r="C269" s="33">
        <v>0.010357189705932864</v>
      </c>
      <c r="D269" s="33">
        <v>-0.027420538241701153</v>
      </c>
      <c r="E269" s="33">
        <v>-0.00845585324111512</v>
      </c>
      <c r="F269" s="237">
        <v>-1868.045433833896</v>
      </c>
      <c r="G269" s="237">
        <v>-6057.675055973717</v>
      </c>
      <c r="H269" s="240">
        <v>-0.005000671214858311</v>
      </c>
      <c r="I269" s="241">
        <v>3.948</v>
      </c>
      <c r="J269" s="242">
        <v>43.217</v>
      </c>
      <c r="K269" s="242">
        <v>153.06</v>
      </c>
      <c r="L269" s="242">
        <v>7.3020000000000005</v>
      </c>
      <c r="M269" s="242">
        <v>103.44</v>
      </c>
      <c r="N269" s="243">
        <v>-0.002039754987863295</v>
      </c>
      <c r="O269" s="240">
        <v>-0.006244769109341765</v>
      </c>
      <c r="P269" s="240">
        <v>-0.0029779373211791045</v>
      </c>
      <c r="Q269" s="240">
        <v>-0.005751848808545578</v>
      </c>
      <c r="R269" s="240">
        <v>-0.0016093261579279174</v>
      </c>
    </row>
    <row r="270">
      <c r="A270" s="236">
        <v>43130.0</v>
      </c>
      <c r="B270" s="33">
        <v>-0.029334398515111316</v>
      </c>
      <c r="C270" s="33">
        <v>0.010369713514525284</v>
      </c>
      <c r="D270" s="33">
        <v>-0.018964685000586033</v>
      </c>
      <c r="E270" s="33">
        <v>-0.01144108301393907</v>
      </c>
      <c r="F270" s="237">
        <v>-2527.5347469825438</v>
      </c>
      <c r="G270" s="237">
        <v>-4189.629622139821</v>
      </c>
      <c r="H270" s="240">
        <v>-9.30119540619688E-4</v>
      </c>
      <c r="I270" s="241">
        <v>3.953</v>
      </c>
      <c r="J270" s="242">
        <v>43.373</v>
      </c>
      <c r="K270" s="242">
        <v>154.01</v>
      </c>
      <c r="L270" s="242">
        <v>7.3020000000000005</v>
      </c>
      <c r="M270" s="242">
        <v>103.72</v>
      </c>
      <c r="N270" s="243">
        <v>-0.003849079228956565</v>
      </c>
      <c r="O270" s="240">
        <v>-0.0023766286504595426</v>
      </c>
      <c r="P270" s="240">
        <v>-2.3990455259153558E-4</v>
      </c>
      <c r="Q270" s="240">
        <v>-0.004270965663688305</v>
      </c>
      <c r="R270" s="240">
        <v>-0.002310520944636072</v>
      </c>
    </row>
    <row r="271">
      <c r="A271" s="236">
        <v>43129.0</v>
      </c>
      <c r="B271" s="33">
        <v>-0.01790586963375642</v>
      </c>
      <c r="C271" s="33">
        <v>0.010382267647109457</v>
      </c>
      <c r="D271" s="33">
        <v>-0.007523601986646963</v>
      </c>
      <c r="E271" s="33">
        <v>0.004894922610479259</v>
      </c>
      <c r="F271" s="237">
        <v>1081.3737621432763</v>
      </c>
      <c r="G271" s="237">
        <v>-1662.0948751572766</v>
      </c>
      <c r="H271" s="240">
        <v>0.0029240513175403126</v>
      </c>
      <c r="I271" s="241">
        <v>3.972</v>
      </c>
      <c r="J271" s="242">
        <v>44.029</v>
      </c>
      <c r="K271" s="242">
        <v>154.43</v>
      </c>
      <c r="L271" s="242">
        <v>7.428</v>
      </c>
      <c r="M271" s="242">
        <v>103.94</v>
      </c>
      <c r="N271" s="243">
        <v>-0.0016709113368777514</v>
      </c>
      <c r="O271" s="240">
        <v>0.006152634527535755</v>
      </c>
      <c r="P271" s="240">
        <v>0.0023128681364835407</v>
      </c>
      <c r="Q271" s="240">
        <v>0.0028331481888058986</v>
      </c>
      <c r="R271" s="240">
        <v>-9.013316538641817E-4</v>
      </c>
    </row>
    <row r="272">
      <c r="A272" s="236">
        <v>43127.0</v>
      </c>
      <c r="B272" s="33">
        <v>-0.0228259919229908</v>
      </c>
      <c r="C272" s="33">
        <v>0.010407467325864577</v>
      </c>
      <c r="D272" s="33">
        <v>-0.012418524597126222</v>
      </c>
      <c r="E272" s="33">
        <v>0.0037558017816007472</v>
      </c>
      <c r="F272" s="237">
        <v>829.7221070950432</v>
      </c>
      <c r="G272" s="237">
        <v>-2743.468637300553</v>
      </c>
      <c r="H272" s="240">
        <v>-9.771730605618704E-4</v>
      </c>
      <c r="I272" s="241">
        <v>3.972</v>
      </c>
      <c r="J272" s="242">
        <v>44.029</v>
      </c>
      <c r="K272" s="242">
        <v>154.43</v>
      </c>
      <c r="L272" s="242">
        <v>7.428</v>
      </c>
      <c r="M272" s="242">
        <v>103.94</v>
      </c>
      <c r="N272" s="243">
        <v>4.2053536729068824E-4</v>
      </c>
      <c r="O272" s="240">
        <v>0.004039415338888516</v>
      </c>
      <c r="P272" s="240">
        <v>-5.127274121166653E-4</v>
      </c>
      <c r="Q272" s="240">
        <v>0.0023805571048502623</v>
      </c>
      <c r="R272" s="240">
        <v>-0.002468529248695657</v>
      </c>
    </row>
    <row r="273">
      <c r="A273" s="236">
        <v>43126.0</v>
      </c>
      <c r="B273" s="33">
        <v>-0.026594439472909726</v>
      </c>
      <c r="C273" s="33">
        <v>0.010420113094182759</v>
      </c>
      <c r="D273" s="33">
        <v>-0.01617432637872697</v>
      </c>
      <c r="E273" s="33">
        <v>1.214295605409324E-4</v>
      </c>
      <c r="F273" s="237">
        <v>26.825907407900104</v>
      </c>
      <c r="G273" s="237">
        <v>-3573.190744395596</v>
      </c>
      <c r="H273" s="240">
        <v>-0.003230267623227929</v>
      </c>
      <c r="I273" s="241">
        <v>3.998</v>
      </c>
      <c r="J273" s="242">
        <v>43.677</v>
      </c>
      <c r="K273" s="242">
        <v>154.12</v>
      </c>
      <c r="L273" s="242">
        <v>7.3950000000000005</v>
      </c>
      <c r="M273" s="242">
        <v>104.44</v>
      </c>
      <c r="N273" s="243">
        <v>-0.0013241807641187296</v>
      </c>
      <c r="O273" s="240">
        <v>-0.002135557600299127</v>
      </c>
      <c r="P273" s="240">
        <v>-0.004888911079207133</v>
      </c>
      <c r="Q273" s="240">
        <v>8.996739599929888E-4</v>
      </c>
      <c r="R273" s="240">
        <v>-3.735724973140513E-5</v>
      </c>
    </row>
    <row r="274">
      <c r="A274" s="236">
        <v>43125.0</v>
      </c>
      <c r="B274" s="33">
        <v>-0.026728545570061574</v>
      </c>
      <c r="C274" s="33">
        <v>0.010432789630793672</v>
      </c>
      <c r="D274" s="33">
        <v>-0.0162957559392679</v>
      </c>
      <c r="E274" s="33">
        <v>-0.006808750523827291</v>
      </c>
      <c r="F274" s="237">
        <v>-1504.171721465732</v>
      </c>
      <c r="G274" s="237">
        <v>-3600.016651803496</v>
      </c>
      <c r="H274" s="240">
        <v>-0.0012096896664109662</v>
      </c>
      <c r="I274" s="241">
        <v>3.992</v>
      </c>
      <c r="J274" s="242">
        <v>43.22</v>
      </c>
      <c r="K274" s="242">
        <v>153.36</v>
      </c>
      <c r="L274" s="242">
        <v>7.365</v>
      </c>
      <c r="M274" s="242">
        <v>104.22</v>
      </c>
      <c r="N274" s="243">
        <v>-1.7896429193562055E-4</v>
      </c>
      <c r="O274" s="240">
        <v>-0.0035604254298265427</v>
      </c>
      <c r="P274" s="240">
        <v>-0.006916332664828546</v>
      </c>
      <c r="Q274" s="240">
        <v>6.773524188691983E-4</v>
      </c>
      <c r="R274" s="240">
        <v>-6.437752000302922E-4</v>
      </c>
    </row>
    <row r="275">
      <c r="A275" s="236">
        <v>43124.0</v>
      </c>
      <c r="B275" s="33">
        <v>-0.019932502463567772</v>
      </c>
      <c r="C275" s="33">
        <v>0.010445497048127162</v>
      </c>
      <c r="D275" s="33">
        <v>-0.00948700541544061</v>
      </c>
      <c r="E275" s="33">
        <v>-0.003003481906397428</v>
      </c>
      <c r="F275" s="237">
        <v>-663.5215277350931</v>
      </c>
      <c r="G275" s="237">
        <v>-2095.8449303377643</v>
      </c>
      <c r="H275" s="240">
        <v>2.824196253845019E-4</v>
      </c>
      <c r="I275" s="241">
        <v>3.967</v>
      </c>
      <c r="J275" s="242">
        <v>43.494</v>
      </c>
      <c r="K275" s="242">
        <v>154.66</v>
      </c>
      <c r="L275" s="242">
        <v>7.375</v>
      </c>
      <c r="M275" s="242">
        <v>104.71000000000001</v>
      </c>
      <c r="N275" s="243">
        <v>-0.0022704109961040604</v>
      </c>
      <c r="O275" s="240">
        <v>-0.0014472062411793043</v>
      </c>
      <c r="P275" s="240">
        <v>-0.004090737116228341</v>
      </c>
      <c r="Q275" s="240">
        <v>0.0011299435028248347</v>
      </c>
      <c r="R275" s="240">
        <v>9.234223948011832E-4</v>
      </c>
    </row>
    <row r="276">
      <c r="A276" s="236">
        <v>43123.0</v>
      </c>
      <c r="B276" s="33">
        <v>-0.016941758968204646</v>
      </c>
      <c r="C276" s="33">
        <v>0.010458235459161464</v>
      </c>
      <c r="D276" s="33">
        <v>-0.006483523509043182</v>
      </c>
      <c r="E276" s="33">
        <v>0.0061831634309918206</v>
      </c>
      <c r="F276" s="237">
        <v>1365.9686236926432</v>
      </c>
      <c r="G276" s="237">
        <v>-1432.3234026026712</v>
      </c>
      <c r="H276" s="240">
        <v>0.001804517951605484</v>
      </c>
      <c r="I276" s="241">
        <v>4.014</v>
      </c>
      <c r="J276" s="242">
        <v>43.952</v>
      </c>
      <c r="K276" s="242">
        <v>156.38</v>
      </c>
      <c r="L276" s="242">
        <v>7.375</v>
      </c>
      <c r="M276" s="242">
        <v>104.45</v>
      </c>
      <c r="N276" s="243">
        <v>0.0022978716646119917</v>
      </c>
      <c r="O276" s="240">
        <v>0.003047288683892223</v>
      </c>
      <c r="P276" s="240">
        <v>-0.0010224135318087175</v>
      </c>
      <c r="Q276" s="240">
        <v>0.0015834582420538902</v>
      </c>
      <c r="R276" s="240">
        <v>-3.1925115419441705E-4</v>
      </c>
    </row>
    <row r="277">
      <c r="A277" s="236">
        <v>43122.0</v>
      </c>
      <c r="B277" s="33">
        <v>-0.023137691917461622</v>
      </c>
      <c r="C277" s="33">
        <v>0.01047100497742662</v>
      </c>
      <c r="D277" s="33">
        <v>-0.012666686940035003</v>
      </c>
      <c r="E277" s="33">
        <v>-0.0023324226484408867</v>
      </c>
      <c r="F277" s="237">
        <v>-515.2728357447427</v>
      </c>
      <c r="G277" s="237">
        <v>-2798.2920262953144</v>
      </c>
      <c r="H277" s="240">
        <v>-0.003411439696025745</v>
      </c>
      <c r="I277" s="241">
        <v>3.993</v>
      </c>
      <c r="J277" s="242">
        <v>43.68</v>
      </c>
      <c r="K277" s="242">
        <v>156.56</v>
      </c>
      <c r="L277" s="242">
        <v>7.3500000000000005</v>
      </c>
      <c r="M277" s="242">
        <v>104.42</v>
      </c>
      <c r="N277" s="243">
        <v>-0.0016618891414248195</v>
      </c>
      <c r="O277" s="240">
        <v>0.0017651261335390415</v>
      </c>
      <c r="P277" s="240">
        <v>-0.0011487416793718095</v>
      </c>
      <c r="Q277" s="240">
        <v>9.076473459502084E-4</v>
      </c>
      <c r="R277" s="240">
        <v>4.1395872345102806E-4</v>
      </c>
    </row>
    <row r="278">
      <c r="A278" s="236">
        <v>43120.0</v>
      </c>
      <c r="B278" s="33">
        <v>-0.020830902084142955</v>
      </c>
      <c r="C278" s="33">
        <v>0.010496637792548839</v>
      </c>
      <c r="D278" s="33">
        <v>-0.010334264291594116</v>
      </c>
      <c r="E278" s="33">
        <v>0.001562813072265518</v>
      </c>
      <c r="F278" s="237">
        <v>345.25265994286883</v>
      </c>
      <c r="G278" s="237">
        <v>-2283.0191905505717</v>
      </c>
      <c r="H278" s="240">
        <v>-0.0016717442516158056</v>
      </c>
      <c r="I278" s="241">
        <v>3.993</v>
      </c>
      <c r="J278" s="242">
        <v>43.68</v>
      </c>
      <c r="K278" s="242">
        <v>156.56</v>
      </c>
      <c r="L278" s="242">
        <v>7.3500000000000005</v>
      </c>
      <c r="M278" s="242">
        <v>104.42</v>
      </c>
      <c r="N278" s="243">
        <v>-0.004602854638878315</v>
      </c>
      <c r="O278" s="240">
        <v>0.0024018880076136146</v>
      </c>
      <c r="P278" s="240">
        <v>-0.002336944522571475</v>
      </c>
      <c r="Q278" s="240">
        <v>4.528951858774578E-4</v>
      </c>
      <c r="R278" s="240">
        <v>-2.572465694821191E-4</v>
      </c>
    </row>
    <row r="279">
      <c r="A279" s="236">
        <v>43119.0</v>
      </c>
      <c r="B279" s="33">
        <v>-0.02240657868311503</v>
      </c>
      <c r="C279" s="33">
        <v>0.010509501319255396</v>
      </c>
      <c r="D279" s="33">
        <v>-0.011897077363859634</v>
      </c>
      <c r="E279" s="33">
        <v>-0.009464709511901866</v>
      </c>
      <c r="F279" s="237">
        <v>-2090.9193764508736</v>
      </c>
      <c r="G279" s="237">
        <v>-2628.2718504934405</v>
      </c>
      <c r="H279" s="240">
        <v>-0.0027933460619644864</v>
      </c>
      <c r="I279" s="241">
        <v>3.986</v>
      </c>
      <c r="J279" s="242">
        <v>43.551</v>
      </c>
      <c r="K279" s="242">
        <v>156.86</v>
      </c>
      <c r="L279" s="242">
        <v>7.34</v>
      </c>
      <c r="M279" s="242">
        <v>104.55</v>
      </c>
      <c r="N279" s="243">
        <v>-0.004539624167006795</v>
      </c>
      <c r="O279" s="240">
        <v>7.026100415021743E-4</v>
      </c>
      <c r="P279" s="240">
        <v>-0.0020999200858322358</v>
      </c>
      <c r="Q279" s="240">
        <v>0.0011347119634512845</v>
      </c>
      <c r="R279" s="240">
        <v>-3.5262265312421717E-4</v>
      </c>
    </row>
    <row r="280">
      <c r="A280" s="236">
        <v>43118.0</v>
      </c>
      <c r="B280" s="33">
        <v>-0.012954764264856419</v>
      </c>
      <c r="C280" s="33">
        <v>0.01052239641289865</v>
      </c>
      <c r="D280" s="33">
        <v>-0.0024323678519577677</v>
      </c>
      <c r="E280" s="33">
        <v>0.0028866636847889315</v>
      </c>
      <c r="F280" s="237">
        <v>637.7143455097341</v>
      </c>
      <c r="G280" s="237">
        <v>-537.3524740425671</v>
      </c>
      <c r="H280" s="240">
        <v>0.0023897878988545017</v>
      </c>
      <c r="I280" s="241">
        <v>4.013</v>
      </c>
      <c r="J280" s="242">
        <v>43.449</v>
      </c>
      <c r="K280" s="242">
        <v>157.1</v>
      </c>
      <c r="L280" s="242">
        <v>7.33</v>
      </c>
      <c r="M280" s="242">
        <v>104.29</v>
      </c>
      <c r="N280" s="243">
        <v>-0.0019448322892891541</v>
      </c>
      <c r="O280" s="240">
        <v>0.0013638882693809565</v>
      </c>
      <c r="P280" s="240">
        <v>-4.918222577091733E-4</v>
      </c>
      <c r="Q280" s="240">
        <v>6.805793567301316E-4</v>
      </c>
      <c r="R280" s="240">
        <v>-0.0018504045287970861</v>
      </c>
    </row>
    <row r="281">
      <c r="A281" s="236">
        <v>43117.0</v>
      </c>
      <c r="B281" s="33">
        <v>-0.015854354726565375</v>
      </c>
      <c r="C281" s="33">
        <v>0.010535323189818676</v>
      </c>
      <c r="D281" s="33">
        <v>-0.005319031536746699</v>
      </c>
      <c r="E281" s="33">
        <v>-0.001801992358780525</v>
      </c>
      <c r="F281" s="237">
        <v>-398.09153513402407</v>
      </c>
      <c r="G281" s="237">
        <v>-1175.0668195523012</v>
      </c>
      <c r="H281" s="240">
        <v>-5.884895448669951E-4</v>
      </c>
      <c r="I281" s="241">
        <v>4.049</v>
      </c>
      <c r="J281" s="242">
        <v>43.366</v>
      </c>
      <c r="K281" s="242">
        <v>157.66</v>
      </c>
      <c r="L281" s="242">
        <v>7.34</v>
      </c>
      <c r="M281" s="242">
        <v>104.5</v>
      </c>
      <c r="N281" s="243">
        <v>9.961332081643412E-4</v>
      </c>
      <c r="O281" s="240">
        <v>7.271263953063833E-4</v>
      </c>
      <c r="P281" s="240">
        <v>6.963805854904923E-4</v>
      </c>
      <c r="Q281" s="240">
        <v>-4.59564814935561E-4</v>
      </c>
      <c r="R281" s="240">
        <v>-0.001179199235863939</v>
      </c>
    </row>
    <row r="282">
      <c r="A282" s="236">
        <v>43116.0</v>
      </c>
      <c r="B282" s="33">
        <v>-0.014065320944894094</v>
      </c>
      <c r="C282" s="33">
        <v>0.01054828176692792</v>
      </c>
      <c r="D282" s="33">
        <v>-0.0035170391779661744</v>
      </c>
      <c r="E282" s="33">
        <v>0.006084692370555098</v>
      </c>
      <c r="F282" s="237">
        <v>1344.214649307281</v>
      </c>
      <c r="G282" s="237">
        <v>-776.9752844182772</v>
      </c>
      <c r="H282" s="240">
        <v>-5.844216346272534E-4</v>
      </c>
      <c r="I282" s="241">
        <v>4.041</v>
      </c>
      <c r="J282" s="242">
        <v>43.459</v>
      </c>
      <c r="K282" s="242">
        <v>157.85</v>
      </c>
      <c r="L282" s="242">
        <v>7.315</v>
      </c>
      <c r="M282" s="242">
        <v>104.66</v>
      </c>
      <c r="N282" s="243">
        <v>3.5620146755003737E-4</v>
      </c>
      <c r="O282" s="240">
        <v>0.001441972126985606</v>
      </c>
      <c r="P282" s="240">
        <v>0.0010980889029669134</v>
      </c>
      <c r="Q282" s="240">
        <v>-0.0015948963317384433</v>
      </c>
      <c r="R282" s="240">
        <v>-6.6883240970765E-4</v>
      </c>
    </row>
    <row r="283">
      <c r="A283" s="236">
        <v>43115.0</v>
      </c>
      <c r="B283" s="33">
        <v>-0.02016300381023605</v>
      </c>
      <c r="C283" s="33">
        <v>0.010561272261714778</v>
      </c>
      <c r="D283" s="33">
        <v>-0.009601731548521272</v>
      </c>
      <c r="E283" s="33">
        <v>-0.006048168646375559</v>
      </c>
      <c r="F283" s="237">
        <v>-1336.1459217366023</v>
      </c>
      <c r="G283" s="237">
        <v>-2121.189933725558</v>
      </c>
      <c r="H283" s="240">
        <v>-0.0026774564993231526</v>
      </c>
      <c r="I283" s="241">
        <v>4.036</v>
      </c>
      <c r="J283" s="242">
        <v>43.271</v>
      </c>
      <c r="K283" s="242">
        <v>157.33</v>
      </c>
      <c r="L283" s="242">
        <v>7.315</v>
      </c>
      <c r="M283" s="242">
        <v>104.87</v>
      </c>
      <c r="N283" s="243">
        <v>0.0014976465554128997</v>
      </c>
      <c r="O283" s="240">
        <v>-0.0022802030613266727</v>
      </c>
      <c r="P283" s="240">
        <v>-0.0035805843344138594</v>
      </c>
      <c r="Q283" s="240">
        <v>-0.0031821979190399968</v>
      </c>
      <c r="R283" s="240">
        <v>-0.0011760592479578035</v>
      </c>
    </row>
    <row r="284">
      <c r="A284" s="236">
        <v>43114.0</v>
      </c>
      <c r="B284" s="33">
        <v>-0.014127857694392834</v>
      </c>
      <c r="C284" s="33">
        <v>0.01057429479224712</v>
      </c>
      <c r="D284" s="33">
        <v>-0.0035535629021457137</v>
      </c>
      <c r="E284" s="33">
        <v>-0.0017897886280612996</v>
      </c>
      <c r="F284" s="237">
        <v>-395.39551820991994</v>
      </c>
      <c r="G284" s="237">
        <v>-785.0440119889557</v>
      </c>
      <c r="H284" s="240">
        <v>-0.0031378106207716264</v>
      </c>
      <c r="I284" s="241">
        <v>4.036</v>
      </c>
      <c r="J284" s="242">
        <v>43.271</v>
      </c>
      <c r="K284" s="242">
        <v>157.33</v>
      </c>
      <c r="L284" s="242">
        <v>7.3500000000000005</v>
      </c>
      <c r="M284" s="242">
        <v>104.87</v>
      </c>
      <c r="N284" s="243">
        <v>0.0037900743797556267</v>
      </c>
      <c r="O284" s="240">
        <v>-0.001583957431989475</v>
      </c>
      <c r="P284" s="240">
        <v>-0.005613871551954627</v>
      </c>
      <c r="Q284" s="240">
        <v>-0.004069811178815912</v>
      </c>
      <c r="R284" s="240">
        <v>-0.0010176910736260812</v>
      </c>
    </row>
    <row r="285">
      <c r="A285" s="236">
        <v>43113.0</v>
      </c>
      <c r="B285" s="33">
        <v>-0.012351123751260233</v>
      </c>
      <c r="C285" s="33">
        <v>0.010587349477175819</v>
      </c>
      <c r="D285" s="33">
        <v>-0.001763774274084414</v>
      </c>
      <c r="E285" s="33">
        <v>-1.9441222353260013E-4</v>
      </c>
      <c r="F285" s="237">
        <v>-42.94905033187109</v>
      </c>
      <c r="G285" s="237">
        <v>-389.6484937790358</v>
      </c>
      <c r="H285" s="240">
        <v>-0.0012397229202023134</v>
      </c>
      <c r="I285" s="241">
        <v>4.036</v>
      </c>
      <c r="J285" s="242">
        <v>43.271</v>
      </c>
      <c r="K285" s="242">
        <v>157.33</v>
      </c>
      <c r="L285" s="242">
        <v>7.3500000000000005</v>
      </c>
      <c r="M285" s="242">
        <v>104.87</v>
      </c>
      <c r="N285" s="243">
        <v>0.0052327635523734236</v>
      </c>
      <c r="O285" s="240">
        <v>-0.0024350016862907313</v>
      </c>
      <c r="P285" s="240">
        <v>-0.007426484840285158</v>
      </c>
      <c r="Q285" s="240">
        <v>-0.0054138972003212596</v>
      </c>
      <c r="R285" s="240">
        <v>-0.002285238685883285</v>
      </c>
    </row>
    <row r="286">
      <c r="A286" s="236">
        <v>43112.0</v>
      </c>
      <c r="B286" s="33">
        <v>-0.01216979848629027</v>
      </c>
      <c r="C286" s="33">
        <v>0.010600436435738455</v>
      </c>
      <c r="D286" s="33">
        <v>-0.001569362050551814</v>
      </c>
      <c r="E286" s="33">
        <v>-0.007429231010720979</v>
      </c>
      <c r="F286" s="237">
        <v>-1641.246680937466</v>
      </c>
      <c r="G286" s="237">
        <v>-346.6994434471647</v>
      </c>
      <c r="H286" s="240">
        <v>-0.007583688019230088</v>
      </c>
      <c r="I286" s="241">
        <v>4.018</v>
      </c>
      <c r="J286" s="242">
        <v>43.567</v>
      </c>
      <c r="K286" s="242">
        <v>159.02</v>
      </c>
      <c r="L286" s="242">
        <v>7.385</v>
      </c>
      <c r="M286" s="242">
        <v>105.24000000000001</v>
      </c>
      <c r="N286" s="243">
        <v>1.8516408817257206E-4</v>
      </c>
      <c r="O286" s="240">
        <v>-0.002647896719961806</v>
      </c>
      <c r="P286" s="240">
        <v>-0.006270368987781007</v>
      </c>
      <c r="Q286" s="240">
        <v>-0.003826595613019706</v>
      </c>
      <c r="R286" s="240">
        <v>-8.881989157800528E-4</v>
      </c>
    </row>
    <row r="287">
      <c r="A287" s="236">
        <v>43111.0</v>
      </c>
      <c r="B287" s="33">
        <v>-0.004753686827593719</v>
      </c>
      <c r="C287" s="33">
        <v>0.010613555787762885</v>
      </c>
      <c r="D287" s="33">
        <v>0.005859868960169165</v>
      </c>
      <c r="E287" s="33">
        <v>0.003904474473646639</v>
      </c>
      <c r="F287" s="237">
        <v>862.5664973171581</v>
      </c>
      <c r="G287" s="237">
        <v>1294.5472374903013</v>
      </c>
      <c r="H287" s="240">
        <v>-0.0026275137303127644</v>
      </c>
      <c r="I287" s="241">
        <v>3.991</v>
      </c>
      <c r="J287" s="242">
        <v>43.476</v>
      </c>
      <c r="K287" s="242">
        <v>159.99</v>
      </c>
      <c r="L287" s="242">
        <v>7.44</v>
      </c>
      <c r="M287" s="242">
        <v>105.19</v>
      </c>
      <c r="N287" s="243">
        <v>-0.00540475477559661</v>
      </c>
      <c r="O287" s="240">
        <v>-2.8506341291717474E-4</v>
      </c>
      <c r="P287" s="240">
        <v>-0.003866779974276515</v>
      </c>
      <c r="Q287" s="240">
        <v>-6.747419786673432E-4</v>
      </c>
      <c r="R287" s="240">
        <v>-0.0010149775020400324</v>
      </c>
    </row>
    <row r="288">
      <c r="A288" s="236">
        <v>43110.0</v>
      </c>
      <c r="B288" s="33">
        <v>-0.01244150755657043</v>
      </c>
      <c r="C288" s="33">
        <v>0.014396902043092956</v>
      </c>
      <c r="D288" s="33">
        <v>0.0019553944865225263</v>
      </c>
      <c r="E288" s="33">
        <v>-0.019226307520615923</v>
      </c>
      <c r="F288" s="237">
        <v>-4247.42659897873</v>
      </c>
      <c r="G288" s="237">
        <v>431.98074017314315</v>
      </c>
      <c r="H288" s="240">
        <v>-0.0025368835729503835</v>
      </c>
      <c r="I288" s="241">
        <v>3.973</v>
      </c>
      <c r="J288" s="242">
        <v>43.587</v>
      </c>
      <c r="K288" s="242">
        <v>160.86</v>
      </c>
      <c r="L288" s="242">
        <v>7.47</v>
      </c>
      <c r="M288" s="242">
        <v>105.59</v>
      </c>
      <c r="N288" s="243">
        <v>-0.006847443948214408</v>
      </c>
      <c r="O288" s="240">
        <v>5.659808413840811E-4</v>
      </c>
      <c r="P288" s="240">
        <v>-0.002054166685945985</v>
      </c>
      <c r="Q288" s="240">
        <v>0.0024578528736003582</v>
      </c>
      <c r="R288" s="240">
        <v>2.525701102171713E-4</v>
      </c>
    </row>
    <row r="289">
      <c r="A289" s="236">
        <v>43109.0</v>
      </c>
      <c r="B289" s="33">
        <v>0.006766937802701712</v>
      </c>
      <c r="C289" s="33">
        <v>0.014414764204436738</v>
      </c>
      <c r="D289" s="33">
        <v>0.02118170200713845</v>
      </c>
      <c r="E289" s="33">
        <v>0.0074392918560309915</v>
      </c>
      <c r="F289" s="237">
        <v>1643.469297107114</v>
      </c>
      <c r="G289" s="237">
        <v>4679.407339151873</v>
      </c>
      <c r="H289" s="240">
        <v>0.0049920074966375945</v>
      </c>
      <c r="I289" s="241">
        <v>4.016</v>
      </c>
      <c r="J289" s="242">
        <v>43.913000000000004</v>
      </c>
      <c r="K289" s="242">
        <v>162.03</v>
      </c>
      <c r="L289" s="242">
        <v>7.47</v>
      </c>
      <c r="M289" s="242">
        <v>105.52</v>
      </c>
      <c r="N289" s="243">
        <v>-0.003652403021255026</v>
      </c>
      <c r="O289" s="240">
        <v>0.005740454865287018</v>
      </c>
      <c r="P289" s="240">
        <v>0.001770775485593996</v>
      </c>
      <c r="Q289" s="240">
        <v>0.0033569313181946296</v>
      </c>
      <c r="R289" s="240">
        <v>0.0011689225422940894</v>
      </c>
    </row>
    <row r="290">
      <c r="A290" s="236">
        <v>43108.0</v>
      </c>
      <c r="B290" s="33">
        <v>-6.902605927136814E-4</v>
      </c>
      <c r="C290" s="33">
        <v>0.01443267074382114</v>
      </c>
      <c r="D290" s="33">
        <v>0.013742410151107458</v>
      </c>
      <c r="E290" s="33">
        <v>0.004176364945733781</v>
      </c>
      <c r="F290" s="237">
        <v>922.6318438177022</v>
      </c>
      <c r="G290" s="237">
        <v>3035.938042044759</v>
      </c>
      <c r="H290" s="240">
        <v>0.002786399379674616</v>
      </c>
      <c r="I290" s="241">
        <v>4.055</v>
      </c>
      <c r="J290" s="242">
        <v>43.51</v>
      </c>
      <c r="K290" s="242">
        <v>161.85</v>
      </c>
      <c r="L290" s="242">
        <v>7.455</v>
      </c>
      <c r="M290" s="242">
        <v>105.51</v>
      </c>
      <c r="N290" s="243">
        <v>-9.221671757589697E-4</v>
      </c>
      <c r="O290" s="240">
        <v>0.004951996874224961</v>
      </c>
      <c r="P290" s="240">
        <v>0.0022484396055369228</v>
      </c>
      <c r="Q290" s="240">
        <v>6.591897094337075E-4</v>
      </c>
      <c r="R290" s="240">
        <v>0.0022151582831175863</v>
      </c>
    </row>
    <row r="291">
      <c r="A291" s="236">
        <v>43106.0</v>
      </c>
      <c r="B291" s="33">
        <v>-0.004902572414521734</v>
      </c>
      <c r="C291" s="33">
        <v>0.01446861761989541</v>
      </c>
      <c r="D291" s="33">
        <v>0.009566045205373677</v>
      </c>
      <c r="E291" s="33">
        <v>0.0033603656881480096</v>
      </c>
      <c r="F291" s="237">
        <v>742.3633784506369</v>
      </c>
      <c r="G291" s="237">
        <v>2113.306198227057</v>
      </c>
      <c r="H291" s="240">
        <v>0.0016496126160915024</v>
      </c>
      <c r="I291" s="241">
        <v>4.055</v>
      </c>
      <c r="J291" s="242">
        <v>43.51</v>
      </c>
      <c r="K291" s="242">
        <v>161.85</v>
      </c>
      <c r="L291" s="242">
        <v>7.415</v>
      </c>
      <c r="M291" s="242">
        <v>105.51</v>
      </c>
      <c r="N291" s="243">
        <v>-0.0016300315489450495</v>
      </c>
      <c r="O291" s="240">
        <v>0.005846256505012391</v>
      </c>
      <c r="P291" s="240">
        <v>4.652431221662384E-4</v>
      </c>
      <c r="Q291" s="240">
        <v>-0.001129319121328646</v>
      </c>
      <c r="R291" s="240">
        <v>0.0016744974047026714</v>
      </c>
    </row>
    <row r="292">
      <c r="A292" s="236">
        <v>43105.0</v>
      </c>
      <c r="B292" s="33">
        <v>-0.004289242968707136</v>
      </c>
      <c r="C292" s="33">
        <v>0.011238350198350263</v>
      </c>
      <c r="D292" s="33">
        <v>0.006205679517225667</v>
      </c>
      <c r="E292" s="33">
        <v>8.22467505142057E-4</v>
      </c>
      <c r="F292" s="237">
        <v>181.69741404532238</v>
      </c>
      <c r="G292" s="237">
        <v>1370.94281977642</v>
      </c>
      <c r="H292" s="240">
        <v>8.012138656244405E-4</v>
      </c>
      <c r="I292" s="241">
        <v>4.06</v>
      </c>
      <c r="J292" s="242">
        <v>43.160000000000004</v>
      </c>
      <c r="K292" s="242">
        <v>161.17000000000002</v>
      </c>
      <c r="L292" s="242">
        <v>7.3950000000000005</v>
      </c>
      <c r="M292" s="242">
        <v>105.15</v>
      </c>
      <c r="N292" s="243">
        <v>5.614277239762355E-4</v>
      </c>
      <c r="O292" s="240">
        <v>0.005956238283139373</v>
      </c>
      <c r="P292" s="240">
        <v>1.7849298160166005E-4</v>
      </c>
      <c r="Q292" s="240">
        <v>-0.002028397565922918</v>
      </c>
      <c r="R292" s="240">
        <v>0.002124768438541543</v>
      </c>
    </row>
    <row r="293">
      <c r="A293" s="236">
        <v>43104.0</v>
      </c>
      <c r="B293" s="33">
        <v>-0.0058551381862666525</v>
      </c>
      <c r="C293" s="33">
        <v>0.011238350198350263</v>
      </c>
      <c r="D293" s="33">
        <v>0.00538321201208361</v>
      </c>
      <c r="E293" s="33">
        <v>7.660046549844406E-4</v>
      </c>
      <c r="F293" s="237">
        <v>169.22378584830892</v>
      </c>
      <c r="G293" s="237">
        <v>1189.2454057310977</v>
      </c>
      <c r="H293" s="240">
        <v>-0.0011839218274425454</v>
      </c>
      <c r="I293" s="241">
        <v>4.067</v>
      </c>
      <c r="J293" s="242">
        <v>42.866</v>
      </c>
      <c r="K293" s="242">
        <v>160.76</v>
      </c>
      <c r="L293" s="242">
        <v>7.44</v>
      </c>
      <c r="M293" s="242">
        <v>104.81</v>
      </c>
      <c r="N293" s="243">
        <v>0.0011286829179066344</v>
      </c>
      <c r="O293" s="240">
        <v>0.0036856173378196013</v>
      </c>
      <c r="P293" s="240">
        <v>-6.694729343049913E-4</v>
      </c>
      <c r="Q293" s="240">
        <v>8.960573476702715E-4</v>
      </c>
      <c r="R293" s="240">
        <v>0.001046943109646303</v>
      </c>
    </row>
    <row r="294">
      <c r="A294" s="236">
        <v>43103.0</v>
      </c>
      <c r="B294" s="33">
        <v>-0.006635190778999029</v>
      </c>
      <c r="C294" s="33">
        <v>0.011252398136098199</v>
      </c>
      <c r="D294" s="33">
        <v>0.00461720735709917</v>
      </c>
      <c r="E294" s="33">
        <v>8.151694367468237E-4</v>
      </c>
      <c r="F294" s="237">
        <v>180.0851434733553</v>
      </c>
      <c r="G294" s="237">
        <v>1020.0216198827887</v>
      </c>
      <c r="H294" s="240">
        <v>-6.993542660479213E-4</v>
      </c>
      <c r="I294" s="241">
        <v>4.075</v>
      </c>
      <c r="J294" s="242">
        <v>42.751</v>
      </c>
      <c r="K294" s="242">
        <v>161.62</v>
      </c>
      <c r="L294" s="242">
        <v>7.44</v>
      </c>
      <c r="M294" s="242">
        <v>104.98</v>
      </c>
      <c r="N294" s="243">
        <v>0.0018365472910927142</v>
      </c>
      <c r="O294" s="240">
        <v>0.0027913577070321706</v>
      </c>
      <c r="P294" s="240">
        <v>0.0011137235490656934</v>
      </c>
      <c r="Q294" s="240">
        <v>8.960573476702715E-4</v>
      </c>
      <c r="R294" s="240">
        <v>0.0015876039880612178</v>
      </c>
    </row>
    <row r="295">
      <c r="A295" s="236">
        <v>43102.0</v>
      </c>
      <c r="B295" s="33">
        <v>-0.007440526702320916</v>
      </c>
      <c r="C295" s="33">
        <v>0.011242564622673262</v>
      </c>
      <c r="D295" s="33">
        <v>0.003802037920352346</v>
      </c>
      <c r="E295" s="33">
        <v>-0.005132939574058901</v>
      </c>
      <c r="F295" s="237">
        <v>-1133.955859929463</v>
      </c>
      <c r="G295" s="237">
        <v>839.9364764094335</v>
      </c>
      <c r="H295" s="240">
        <v>-0.0015697896533830049</v>
      </c>
      <c r="I295" s="241">
        <v>4.053</v>
      </c>
      <c r="J295" s="242">
        <v>42.393</v>
      </c>
      <c r="K295" s="242">
        <v>161.08</v>
      </c>
      <c r="L295" s="242">
        <v>7.44</v>
      </c>
      <c r="M295" s="242">
        <v>104.48</v>
      </c>
      <c r="N295" s="243">
        <v>-0.0031962497336458485</v>
      </c>
      <c r="O295" s="240">
        <v>-1.8871040030194377E-4</v>
      </c>
      <c r="P295" s="240">
        <v>-0.0020693651187815576</v>
      </c>
      <c r="Q295" s="240">
        <v>8.960573476702715E-4</v>
      </c>
      <c r="R295" s="240">
        <v>0.0012123532414497046</v>
      </c>
    </row>
    <row r="296">
      <c r="A296" s="236">
        <v>43100.0</v>
      </c>
      <c r="B296" s="33">
        <v>-0.002328737429887996</v>
      </c>
      <c r="C296" s="33">
        <v>0.011263714924299242</v>
      </c>
      <c r="D296" s="33">
        <v>0.008934977494411247</v>
      </c>
      <c r="E296" s="33">
        <v>0.002219707339168313</v>
      </c>
      <c r="F296" s="237">
        <v>490.3720584008304</v>
      </c>
      <c r="G296" s="237">
        <v>1973.8923363388965</v>
      </c>
      <c r="H296" s="240">
        <v>-5.890831561657558E-4</v>
      </c>
      <c r="I296" s="241">
        <v>4.053</v>
      </c>
      <c r="J296" s="242">
        <v>42.393</v>
      </c>
      <c r="K296" s="242">
        <v>161.08</v>
      </c>
      <c r="L296" s="242">
        <v>7.42</v>
      </c>
      <c r="M296" s="242">
        <v>104.48</v>
      </c>
      <c r="N296" s="243">
        <v>-0.003407309252430039</v>
      </c>
      <c r="O296" s="240">
        <v>-0.001823275158142734</v>
      </c>
      <c r="P296" s="240">
        <v>-0.0035706813412231288</v>
      </c>
      <c r="Q296" s="240">
        <v>0.0</v>
      </c>
      <c r="R296" s="240">
        <v>0.001916804089992814</v>
      </c>
    </row>
    <row r="297">
      <c r="A297" s="236">
        <v>43099.0</v>
      </c>
      <c r="B297" s="33">
        <v>-0.004562595164689848</v>
      </c>
      <c r="C297" s="33">
        <v>0.011277865319932781</v>
      </c>
      <c r="D297" s="33">
        <v>0.006715270155242934</v>
      </c>
      <c r="E297" s="33">
        <v>-0.0017961367252584265</v>
      </c>
      <c r="F297" s="237">
        <v>-396.7979235786611</v>
      </c>
      <c r="G297" s="237">
        <v>1483.520277938066</v>
      </c>
      <c r="H297" s="240">
        <v>3.656154764899369E-4</v>
      </c>
      <c r="I297" s="241">
        <v>4.053</v>
      </c>
      <c r="J297" s="242">
        <v>42.393</v>
      </c>
      <c r="K297" s="242">
        <v>161.08</v>
      </c>
      <c r="L297" s="242">
        <v>7.42</v>
      </c>
      <c r="M297" s="242">
        <v>104.48</v>
      </c>
      <c r="N297" s="243">
        <v>-0.0022823707725032455</v>
      </c>
      <c r="O297" s="240">
        <v>-0.0036140864973411638</v>
      </c>
      <c r="P297" s="240">
        <v>-0.004962897216578875</v>
      </c>
      <c r="Q297" s="240">
        <v>2.2461814914644625E-4</v>
      </c>
      <c r="R297" s="240">
        <v>0.0022376871602020117</v>
      </c>
    </row>
    <row r="298">
      <c r="A298" s="236">
        <v>43098.0</v>
      </c>
      <c r="B298" s="33">
        <v>-0.0027806444335445445</v>
      </c>
      <c r="C298" s="33">
        <v>0.011292051314045905</v>
      </c>
      <c r="D298" s="33">
        <v>0.00851140688050136</v>
      </c>
      <c r="E298" s="33">
        <v>-0.0021908200824071536</v>
      </c>
      <c r="F298" s="237">
        <v>-483.9903596473223</v>
      </c>
      <c r="G298" s="237">
        <v>1880.3182015167272</v>
      </c>
      <c r="H298" s="240">
        <v>-5.524279627247778E-4</v>
      </c>
      <c r="I298" s="241">
        <v>4.092</v>
      </c>
      <c r="J298" s="242">
        <v>42.417</v>
      </c>
      <c r="K298" s="242">
        <v>162.08</v>
      </c>
      <c r="L298" s="242">
        <v>7.42</v>
      </c>
      <c r="M298" s="242">
        <v>104.10000000000001</v>
      </c>
      <c r="N298" s="243">
        <v>9.138789611426026E-4</v>
      </c>
      <c r="O298" s="240">
        <v>-0.00342537609703922</v>
      </c>
      <c r="P298" s="240">
        <v>-0.0028935320977973174</v>
      </c>
      <c r="Q298" s="240">
        <v>4.4938776029501416E-4</v>
      </c>
      <c r="R298" s="240">
        <v>0.0010253339187523069</v>
      </c>
    </row>
    <row r="299">
      <c r="A299" s="236">
        <v>43097.0</v>
      </c>
      <c r="B299" s="33">
        <v>-6.040460782331649E-4</v>
      </c>
      <c r="C299" s="33">
        <v>0.011306273041141679</v>
      </c>
      <c r="D299" s="33">
        <v>0.010702226962908514</v>
      </c>
      <c r="E299" s="33">
        <v>0.005083803237135391</v>
      </c>
      <c r="F299" s="237">
        <v>1123.1007862653437</v>
      </c>
      <c r="G299" s="237">
        <v>2364.3085611640495</v>
      </c>
      <c r="H299" s="240">
        <v>7.867887486202185E-4</v>
      </c>
      <c r="I299" s="241">
        <v>4.094</v>
      </c>
      <c r="J299" s="242">
        <v>42.625</v>
      </c>
      <c r="K299" s="242">
        <v>162.81</v>
      </c>
      <c r="L299" s="242">
        <v>7.42</v>
      </c>
      <c r="M299" s="242">
        <v>103.88</v>
      </c>
      <c r="N299" s="243">
        <v>0.0011249384799267932</v>
      </c>
      <c r="O299" s="240">
        <v>-0.0017908113391984298</v>
      </c>
      <c r="P299" s="240">
        <v>-0.0013922158753557456</v>
      </c>
      <c r="Q299" s="240">
        <v>4.4938776029501416E-4</v>
      </c>
      <c r="R299" s="240">
        <v>3.2088307020919756E-4</v>
      </c>
    </row>
    <row r="300">
      <c r="A300" s="236">
        <v>43096.0</v>
      </c>
      <c r="B300" s="33">
        <v>-0.0057021069106285086</v>
      </c>
      <c r="C300" s="33">
        <v>0.011320530636401632</v>
      </c>
      <c r="D300" s="33">
        <v>0.005618423725773123</v>
      </c>
      <c r="E300" s="33">
        <v>-0.004550267042902571</v>
      </c>
      <c r="F300" s="237">
        <v>-1005.2333371739142</v>
      </c>
      <c r="G300" s="237">
        <v>1241.2077748987058</v>
      </c>
      <c r="H300" s="240">
        <v>-0.0010562513149492004</v>
      </c>
      <c r="I300" s="241">
        <v>4.081</v>
      </c>
      <c r="J300" s="242">
        <v>42.854</v>
      </c>
      <c r="K300" s="242">
        <v>163.49</v>
      </c>
      <c r="L300" s="242">
        <v>7.415</v>
      </c>
      <c r="M300" s="242">
        <v>103.78</v>
      </c>
      <c r="N300" s="243">
        <v>0.0</v>
      </c>
      <c r="O300" s="240">
        <v>0.0</v>
      </c>
      <c r="P300" s="240">
        <v>0.0</v>
      </c>
      <c r="Q300" s="240">
        <v>2.247696111485679E-4</v>
      </c>
      <c r="R300" s="240">
        <v>0.0</v>
      </c>
    </row>
    <row r="301">
      <c r="A301" s="236">
        <v>43095.0</v>
      </c>
      <c r="B301" s="33">
        <v>-0.001878974814355993</v>
      </c>
      <c r="C301" s="33">
        <v>0.010658812747071877</v>
      </c>
      <c r="D301" s="33">
        <v>0.010168690768675694</v>
      </c>
      <c r="E301" s="33">
        <v>0.0018268300516278355</v>
      </c>
      <c r="F301" s="237">
        <v>403.5786146028097</v>
      </c>
      <c r="G301" s="237">
        <v>2246.44111207262</v>
      </c>
      <c r="H301" s="240">
        <v>3.9853596321514614E-4</v>
      </c>
      <c r="I301" s="241">
        <v>4.081</v>
      </c>
      <c r="J301" s="242">
        <v>42.854</v>
      </c>
      <c r="K301" s="242">
        <v>163.49</v>
      </c>
      <c r="L301" s="242">
        <v>7.41</v>
      </c>
      <c r="M301" s="242">
        <v>103.78</v>
      </c>
      <c r="N301" s="243">
        <v>0.00444444444444445</v>
      </c>
      <c r="O301" s="240">
        <v>-8.55618300897617E-4</v>
      </c>
      <c r="P301" s="240">
        <v>-1.223316410789697E-4</v>
      </c>
      <c r="Q301" s="240">
        <v>0.003823661718398559</v>
      </c>
      <c r="R301" s="240">
        <v>0.0021198689535555874</v>
      </c>
    </row>
    <row r="302">
      <c r="A302" s="236">
        <v>43094.0</v>
      </c>
      <c r="B302" s="33">
        <v>-0.002316952030024018</v>
      </c>
      <c r="C302" s="33">
        <v>0.010658812747071877</v>
      </c>
      <c r="D302" s="33">
        <v>0.008341860717047858</v>
      </c>
      <c r="E302" s="33">
        <v>-4.453169535728659E-4</v>
      </c>
      <c r="F302" s="237">
        <v>-98.37828046562822</v>
      </c>
      <c r="G302" s="237">
        <v>1842.8624974698103</v>
      </c>
      <c r="H302" s="240">
        <v>0.0029492820028992396</v>
      </c>
      <c r="I302" s="241">
        <v>4.081</v>
      </c>
      <c r="J302" s="242">
        <v>42.854</v>
      </c>
      <c r="K302" s="242">
        <v>163.49</v>
      </c>
      <c r="L302" s="242">
        <v>7.41</v>
      </c>
      <c r="M302" s="242">
        <v>103.78</v>
      </c>
      <c r="N302" s="243">
        <v>0.004587444587444618</v>
      </c>
      <c r="O302" s="240">
        <v>-0.0011349219039141064</v>
      </c>
      <c r="P302" s="240">
        <v>7.948190773557945E-4</v>
      </c>
      <c r="Q302" s="240">
        <v>0.0063265058594679435</v>
      </c>
      <c r="R302" s="240">
        <v>0.004705852920454983</v>
      </c>
    </row>
    <row r="303">
      <c r="A303" s="236">
        <v>43092.0</v>
      </c>
      <c r="B303" s="33">
        <v>-0.001898653613199113</v>
      </c>
      <c r="C303" s="33">
        <v>0.010685831283819837</v>
      </c>
      <c r="D303" s="33">
        <v>0.008787177670620724</v>
      </c>
      <c r="E303" s="33">
        <v>-1.8590520840953105E-4</v>
      </c>
      <c r="F303" s="237">
        <v>-41.06970234615437</v>
      </c>
      <c r="G303" s="237">
        <v>1941.2407779354385</v>
      </c>
      <c r="H303" s="240">
        <v>-0.002126830717769344</v>
      </c>
      <c r="I303" s="241">
        <v>4.081</v>
      </c>
      <c r="J303" s="242">
        <v>42.854</v>
      </c>
      <c r="K303" s="242">
        <v>163.49</v>
      </c>
      <c r="L303" s="242">
        <v>7.41</v>
      </c>
      <c r="M303" s="242">
        <v>103.78</v>
      </c>
      <c r="N303" s="243">
        <v>0.005016629136800846</v>
      </c>
      <c r="O303" s="240">
        <v>-0.0013364722915110317</v>
      </c>
      <c r="P303" s="240">
        <v>7.743817178626015E-4</v>
      </c>
      <c r="Q303" s="240">
        <v>0.007243516405089238</v>
      </c>
      <c r="R303" s="240">
        <v>0.005194515938437801</v>
      </c>
    </row>
    <row r="304">
      <c r="A304" s="236">
        <v>43091.0</v>
      </c>
      <c r="B304" s="33">
        <v>-0.0017263091043883386</v>
      </c>
      <c r="C304" s="33">
        <v>0.010699391983418594</v>
      </c>
      <c r="D304" s="33">
        <v>0.008973082879030255</v>
      </c>
      <c r="E304" s="33">
        <v>0.009479068170680116</v>
      </c>
      <c r="F304" s="237">
        <v>2094.0914545607757</v>
      </c>
      <c r="G304" s="237">
        <v>1982.3104802815928</v>
      </c>
      <c r="H304" s="240">
        <v>-0.007426952108467009</v>
      </c>
      <c r="I304" s="241">
        <v>4.026</v>
      </c>
      <c r="J304" s="242">
        <v>42.964</v>
      </c>
      <c r="K304" s="242">
        <v>163.55</v>
      </c>
      <c r="L304" s="242">
        <v>7.325</v>
      </c>
      <c r="M304" s="242">
        <v>103.12</v>
      </c>
      <c r="N304" s="243">
        <v>-0.003940062836650915</v>
      </c>
      <c r="O304" s="240">
        <v>-0.0029909641565595718</v>
      </c>
      <c r="P304" s="240">
        <v>-0.0015556194226168628</v>
      </c>
      <c r="Q304" s="240">
        <v>0.00341985468669068</v>
      </c>
      <c r="R304" s="240">
        <v>0.0026505172664391106</v>
      </c>
    </row>
    <row r="305">
      <c r="A305" s="236">
        <v>43090.0</v>
      </c>
      <c r="B305" s="33">
        <v>-0.011218972436419691</v>
      </c>
      <c r="C305" s="33">
        <v>0.01071298714476983</v>
      </c>
      <c r="D305" s="33">
        <v>-5.05985291649861E-4</v>
      </c>
      <c r="E305" s="33">
        <v>-0.015673655115578618</v>
      </c>
      <c r="F305" s="237">
        <v>-3462.5837316782386</v>
      </c>
      <c r="G305" s="237">
        <v>-111.78097427918294</v>
      </c>
      <c r="H305" s="240">
        <v>-0.011823982360711851</v>
      </c>
      <c r="I305" s="241">
        <v>4.024</v>
      </c>
      <c r="J305" s="242">
        <v>43.0</v>
      </c>
      <c r="K305" s="242">
        <v>163.1</v>
      </c>
      <c r="L305" s="242">
        <v>7.2700000000000005</v>
      </c>
      <c r="M305" s="242">
        <v>102.32000000000001</v>
      </c>
      <c r="N305" s="243">
        <v>-0.008464378787721176</v>
      </c>
      <c r="O305" s="240">
        <v>-0.0036266932332816425</v>
      </c>
      <c r="P305" s="240">
        <v>-0.00484633231012226</v>
      </c>
      <c r="Q305" s="240">
        <v>0.0013767806605638148</v>
      </c>
      <c r="R305" s="240">
        <v>-0.0010433194212162431</v>
      </c>
    </row>
    <row r="306">
      <c r="A306" s="236">
        <v>43089.0</v>
      </c>
      <c r="B306" s="33">
        <v>0.004441052924521815</v>
      </c>
      <c r="C306" s="33">
        <v>0.01072661689940694</v>
      </c>
      <c r="D306" s="33">
        <v>0.015167669823928757</v>
      </c>
      <c r="E306" s="33">
        <v>-0.01608626938050253</v>
      </c>
      <c r="F306" s="237">
        <v>-3553.737417952978</v>
      </c>
      <c r="G306" s="237">
        <v>3350.8027573990557</v>
      </c>
      <c r="H306" s="240">
        <v>-0.008583500156325191</v>
      </c>
      <c r="I306" s="241">
        <v>4.019</v>
      </c>
      <c r="J306" s="242">
        <v>43.026</v>
      </c>
      <c r="K306" s="242">
        <v>163.11</v>
      </c>
      <c r="L306" s="242">
        <v>7.25</v>
      </c>
      <c r="M306" s="242">
        <v>102.17</v>
      </c>
      <c r="N306" s="243">
        <v>-0.008893563337077404</v>
      </c>
      <c r="O306" s="240">
        <v>-0.0034251428456847175</v>
      </c>
      <c r="P306" s="240">
        <v>-0.004825894950629068</v>
      </c>
      <c r="Q306" s="240">
        <v>-2.3083761986409613E-4</v>
      </c>
      <c r="R306" s="240">
        <v>-0.0015319824391990605</v>
      </c>
    </row>
    <row r="307">
      <c r="A307" s="236">
        <v>43088.0</v>
      </c>
      <c r="B307" s="33">
        <v>0.02051365782489772</v>
      </c>
      <c r="C307" s="33">
        <v>0.010740281379533567</v>
      </c>
      <c r="D307" s="33">
        <v>0.031253939204431286</v>
      </c>
      <c r="E307" s="33">
        <v>-0.0037120225860544087</v>
      </c>
      <c r="F307" s="237">
        <v>-820.050519378784</v>
      </c>
      <c r="G307" s="237">
        <v>6904.540175352034</v>
      </c>
      <c r="H307" s="240">
        <v>-0.0033741413055635348</v>
      </c>
      <c r="I307" s="241">
        <v>4.074</v>
      </c>
      <c r="J307" s="242">
        <v>43.35</v>
      </c>
      <c r="K307" s="242">
        <v>164.31</v>
      </c>
      <c r="L307" s="242">
        <v>7.25</v>
      </c>
      <c r="M307" s="242">
        <v>102.3</v>
      </c>
      <c r="N307" s="243">
        <v>-0.004381315808070094</v>
      </c>
      <c r="O307" s="240">
        <v>-9.150326797385603E-4</v>
      </c>
      <c r="P307" s="240">
        <v>-0.002373562169070634</v>
      </c>
      <c r="Q307" s="240">
        <v>-2.3083761986409613E-4</v>
      </c>
      <c r="R307" s="240">
        <v>-0.0011078527207559576</v>
      </c>
    </row>
    <row r="308">
      <c r="A308" s="236">
        <v>43087.0</v>
      </c>
      <c r="B308" s="33">
        <v>0.024211981072457825</v>
      </c>
      <c r="C308" s="33">
        <v>0.010753980718027873</v>
      </c>
      <c r="D308" s="33">
        <v>0.034965961790485695</v>
      </c>
      <c r="E308" s="33">
        <v>-0.005952208502418635</v>
      </c>
      <c r="F308" s="237">
        <v>-1314.946652586901</v>
      </c>
      <c r="G308" s="237">
        <v>7724.590694730818</v>
      </c>
      <c r="H308" s="240">
        <v>0.0020779655018896026</v>
      </c>
      <c r="I308" s="241">
        <v>4.127</v>
      </c>
      <c r="J308" s="242">
        <v>43.469</v>
      </c>
      <c r="K308" s="242">
        <v>165.48</v>
      </c>
      <c r="L308" s="242">
        <v>7.24</v>
      </c>
      <c r="M308" s="242">
        <v>102.64</v>
      </c>
      <c r="N308" s="243">
        <v>1.394991978795657E-4</v>
      </c>
      <c r="O308" s="240">
        <v>0.0011349084021563508</v>
      </c>
      <c r="P308" s="240">
        <v>-7.453065828700438E-4</v>
      </c>
      <c r="Q308" s="240">
        <v>-1.4278588590073762E-6</v>
      </c>
      <c r="R308" s="240">
        <v>0.0013315146791374273</v>
      </c>
    </row>
    <row r="309">
      <c r="A309" s="236">
        <v>43086.0</v>
      </c>
      <c r="B309" s="33">
        <v>0.03015045524445752</v>
      </c>
      <c r="C309" s="33">
        <v>0.010767715048446811</v>
      </c>
      <c r="D309" s="33">
        <v>0.04091817029290433</v>
      </c>
      <c r="E309" s="33">
        <v>-4.5819282821756013E-4</v>
      </c>
      <c r="F309" s="237">
        <v>-101.22278570369053</v>
      </c>
      <c r="G309" s="237">
        <v>9039.537347317719</v>
      </c>
      <c r="H309" s="240">
        <v>0.005687841054229946</v>
      </c>
      <c r="I309" s="241">
        <v>4.127</v>
      </c>
      <c r="J309" s="242">
        <v>43.469</v>
      </c>
      <c r="K309" s="242">
        <v>165.48</v>
      </c>
      <c r="L309" s="242">
        <v>7.255</v>
      </c>
      <c r="M309" s="242">
        <v>102.64</v>
      </c>
      <c r="N309" s="243">
        <v>9.768448122819899E-4</v>
      </c>
      <c r="O309" s="240">
        <v>0.002758447409412251</v>
      </c>
      <c r="P309" s="240">
        <v>-8.859959608220519E-4</v>
      </c>
      <c r="Q309" s="240">
        <v>0.0023005979238297507</v>
      </c>
      <c r="R309" s="240">
        <v>0.001461939538115569</v>
      </c>
    </row>
    <row r="310">
      <c r="A310" s="236">
        <v>43085.0</v>
      </c>
      <c r="B310" s="33">
        <v>0.03059487861609139</v>
      </c>
      <c r="C310" s="33">
        <v>0.010781484505030504</v>
      </c>
      <c r="D310" s="33">
        <v>0.04137636312112189</v>
      </c>
      <c r="E310" s="33">
        <v>0.012644297836305003</v>
      </c>
      <c r="F310" s="237">
        <v>2793.3458828609546</v>
      </c>
      <c r="G310" s="237">
        <v>9140.76013302141</v>
      </c>
      <c r="H310" s="240">
        <v>0.005483573519371991</v>
      </c>
      <c r="I310" s="241">
        <v>4.127</v>
      </c>
      <c r="J310" s="242">
        <v>43.469</v>
      </c>
      <c r="K310" s="242">
        <v>165.48</v>
      </c>
      <c r="L310" s="242">
        <v>7.255</v>
      </c>
      <c r="M310" s="242">
        <v>102.64</v>
      </c>
      <c r="N310" s="243">
        <v>-7.720184266127571E-4</v>
      </c>
      <c r="O310" s="240">
        <v>0.0016991417572047162</v>
      </c>
      <c r="P310" s="240">
        <v>-5.645559093915935E-4</v>
      </c>
      <c r="Q310" s="240">
        <v>0.003457202133869091</v>
      </c>
      <c r="R310" s="240">
        <v>0.0033864592236685885</v>
      </c>
    </row>
    <row r="311">
      <c r="A311" s="236">
        <v>43084.0</v>
      </c>
      <c r="B311" s="33">
        <v>0.017936776062110284</v>
      </c>
      <c r="C311" s="33">
        <v>0.010795289222706603</v>
      </c>
      <c r="D311" s="33">
        <v>0.028732065284816886</v>
      </c>
      <c r="E311" s="33">
        <v>0.004877418154602395</v>
      </c>
      <c r="F311" s="237">
        <v>1077.5067225979901</v>
      </c>
      <c r="G311" s="237">
        <v>6347.414250160455</v>
      </c>
      <c r="H311" s="240">
        <v>0.0019857129985432534</v>
      </c>
      <c r="I311" s="241">
        <v>4.125</v>
      </c>
      <c r="J311" s="242">
        <v>43.321</v>
      </c>
      <c r="K311" s="242">
        <v>165.85</v>
      </c>
      <c r="L311" s="242">
        <v>7.24</v>
      </c>
      <c r="M311" s="242">
        <v>102.23</v>
      </c>
      <c r="N311" s="243">
        <v>9.673967805180973E-4</v>
      </c>
      <c r="O311" s="240">
        <v>-5.148395671581889E-4</v>
      </c>
      <c r="P311" s="240">
        <v>-4.2253117980342575E-4</v>
      </c>
      <c r="Q311" s="240">
        <v>0.0027680222579214834</v>
      </c>
      <c r="R311" s="240">
        <v>0.003137621709885533</v>
      </c>
    </row>
    <row r="312">
      <c r="A312" s="236">
        <v>43083.0</v>
      </c>
      <c r="B312" s="33">
        <v>0.01304551779311981</v>
      </c>
      <c r="C312" s="33">
        <v>0.010809129337094683</v>
      </c>
      <c r="D312" s="33">
        <v>0.02385464713021449</v>
      </c>
      <c r="E312" s="33">
        <v>-0.001070995432791426</v>
      </c>
      <c r="F312" s="237">
        <v>-236.6015670843335</v>
      </c>
      <c r="G312" s="237">
        <v>5269.907527562465</v>
      </c>
      <c r="H312" s="240">
        <v>0.0011486777204247356</v>
      </c>
      <c r="I312" s="241">
        <v>4.115</v>
      </c>
      <c r="J312" s="242">
        <v>43.11</v>
      </c>
      <c r="K312" s="242">
        <v>165.92000000000002</v>
      </c>
      <c r="L312" s="242">
        <v>7.205</v>
      </c>
      <c r="M312" s="242">
        <v>102.19</v>
      </c>
      <c r="N312" s="243">
        <v>-0.0023893693671616966</v>
      </c>
      <c r="O312" s="240">
        <v>0.001856673706991217</v>
      </c>
      <c r="P312" s="240">
        <v>0.001063053617474905</v>
      </c>
      <c r="Q312" s="240">
        <v>-0.0013967848336004273</v>
      </c>
      <c r="R312" s="240">
        <v>0.0028755356152666742</v>
      </c>
    </row>
    <row r="313">
      <c r="A313" s="236">
        <v>43082.0</v>
      </c>
      <c r="B313" s="33">
        <v>0.014102637578495194</v>
      </c>
      <c r="C313" s="33">
        <v>0.010823004984510725</v>
      </c>
      <c r="D313" s="33">
        <v>0.024925642563005918</v>
      </c>
      <c r="E313" s="33">
        <v>0.002150716273818791</v>
      </c>
      <c r="F313" s="237">
        <v>475.1307290013492</v>
      </c>
      <c r="G313" s="237">
        <v>5506.509094646798</v>
      </c>
      <c r="H313" s="240">
        <v>3.241263091143416E-4</v>
      </c>
      <c r="I313" s="241">
        <v>4.137</v>
      </c>
      <c r="J313" s="242">
        <v>43.247</v>
      </c>
      <c r="K313" s="242">
        <v>165.76</v>
      </c>
      <c r="L313" s="242">
        <v>7.18</v>
      </c>
      <c r="M313" s="242">
        <v>101.60000000000001</v>
      </c>
      <c r="N313" s="243">
        <v>-6.405061282669496E-4</v>
      </c>
      <c r="O313" s="240">
        <v>0.0029159793591987514</v>
      </c>
      <c r="P313" s="240">
        <v>7.416135660444466E-4</v>
      </c>
      <c r="Q313" s="240">
        <v>-0.0020926657080028283</v>
      </c>
      <c r="R313" s="240">
        <v>9.510159297136545E-4</v>
      </c>
    </row>
    <row r="314">
      <c r="A314" s="236">
        <v>43081.0</v>
      </c>
      <c r="B314" s="33">
        <v>0.011938009987215592</v>
      </c>
      <c r="C314" s="33">
        <v>0.010836916301971537</v>
      </c>
      <c r="D314" s="33">
        <v>0.022774926289187127</v>
      </c>
      <c r="E314" s="33">
        <v>0.002366312320246842</v>
      </c>
      <c r="F314" s="237">
        <v>522.7596552135828</v>
      </c>
      <c r="G314" s="237">
        <v>5031.378365645449</v>
      </c>
      <c r="H314" s="240">
        <v>-2.2015900315638473E-4</v>
      </c>
      <c r="I314" s="241">
        <v>4.113</v>
      </c>
      <c r="J314" s="242">
        <v>43.387</v>
      </c>
      <c r="K314" s="242">
        <v>166.06</v>
      </c>
      <c r="L314" s="242">
        <v>7.18</v>
      </c>
      <c r="M314" s="242">
        <v>101.27</v>
      </c>
      <c r="N314" s="243">
        <v>-0.00251942053327737</v>
      </c>
      <c r="O314" s="240">
        <v>0.003995052281405306</v>
      </c>
      <c r="P314" s="240">
        <v>0.0013448954193263226</v>
      </c>
      <c r="Q314" s="240">
        <v>-0.0020926657080028283</v>
      </c>
      <c r="R314" s="240">
        <v>-1.3166123564071707E-4</v>
      </c>
    </row>
    <row r="315">
      <c r="A315" s="236">
        <v>43080.0</v>
      </c>
      <c r="B315" s="33">
        <v>0.009533063914576888</v>
      </c>
      <c r="C315" s="33">
        <v>0.010875550054363397</v>
      </c>
      <c r="D315" s="33">
        <v>0.020408613968940285</v>
      </c>
      <c r="E315" s="33">
        <v>-0.003544649666722608</v>
      </c>
      <c r="F315" s="237">
        <v>-783.074922855305</v>
      </c>
      <c r="G315" s="237">
        <v>4508.618710431866</v>
      </c>
      <c r="H315" s="240">
        <v>-0.002000183303400431</v>
      </c>
      <c r="I315" s="241">
        <v>4.144</v>
      </c>
      <c r="J315" s="242">
        <v>42.867000000000004</v>
      </c>
      <c r="K315" s="242">
        <v>165.39000000000001</v>
      </c>
      <c r="L315" s="242">
        <v>7.235</v>
      </c>
      <c r="M315" s="242">
        <v>101.31</v>
      </c>
      <c r="N315" s="243">
        <v>4.862124053622446E-4</v>
      </c>
      <c r="O315" s="240">
        <v>4.6655935801434105E-5</v>
      </c>
      <c r="P315" s="240">
        <v>-0.0010883366588064413</v>
      </c>
      <c r="Q315" s="240">
        <v>2.300428281398286E-4</v>
      </c>
      <c r="R315" s="240">
        <v>-0.001842529529825954</v>
      </c>
    </row>
    <row r="316">
      <c r="A316" s="236">
        <v>43079.0</v>
      </c>
      <c r="B316" s="33">
        <v>0.012222469201890903</v>
      </c>
      <c r="C316" s="33">
        <v>0.011730794433771992</v>
      </c>
      <c r="D316" s="33">
        <v>0.023953263635662893</v>
      </c>
      <c r="E316" s="33">
        <v>5.17860337006612E-4</v>
      </c>
      <c r="F316" s="237">
        <v>114.40437887511234</v>
      </c>
      <c r="G316" s="237">
        <v>5291.693633287171</v>
      </c>
      <c r="H316" s="240">
        <v>-0.0014882025172187942</v>
      </c>
      <c r="I316" s="241">
        <v>4.144</v>
      </c>
      <c r="J316" s="242">
        <v>42.867000000000004</v>
      </c>
      <c r="K316" s="242">
        <v>165.39000000000001</v>
      </c>
      <c r="L316" s="242">
        <v>7.2250000000000005</v>
      </c>
      <c r="M316" s="242">
        <v>101.31</v>
      </c>
      <c r="N316" s="243">
        <v>-0.0027831253798353255</v>
      </c>
      <c r="O316" s="240">
        <v>0.0020375878630390955</v>
      </c>
      <c r="P316" s="240">
        <v>-0.001007981488955717</v>
      </c>
      <c r="Q316" s="240">
        <v>0.0023050502440013026</v>
      </c>
      <c r="R316" s="240">
        <v>-0.002006136741631841</v>
      </c>
    </row>
    <row r="317">
      <c r="A317" s="236">
        <v>43078.0</v>
      </c>
      <c r="B317" s="33">
        <v>0.01168947235593749</v>
      </c>
      <c r="C317" s="33">
        <v>0.011745930942718792</v>
      </c>
      <c r="D317" s="33">
        <v>0.02343540329865628</v>
      </c>
      <c r="E317" s="33">
        <v>-0.0029737605804852976</v>
      </c>
      <c r="F317" s="237">
        <v>-656.955568561667</v>
      </c>
      <c r="G317" s="237">
        <v>5177.289254412059</v>
      </c>
      <c r="H317" s="240">
        <v>0.0012317097980774742</v>
      </c>
      <c r="I317" s="241">
        <v>4.144</v>
      </c>
      <c r="J317" s="242">
        <v>42.867000000000004</v>
      </c>
      <c r="K317" s="242">
        <v>165.39000000000001</v>
      </c>
      <c r="L317" s="242">
        <v>7.2250000000000005</v>
      </c>
      <c r="M317" s="242">
        <v>101.31</v>
      </c>
      <c r="N317" s="243">
        <v>-0.003403088182067162</v>
      </c>
      <c r="O317" s="240">
        <v>0.0028825591105452885</v>
      </c>
      <c r="P317" s="240">
        <v>-0.0012691987614455102</v>
      </c>
      <c r="Q317" s="240">
        <v>-1.7830127659590005E-5</v>
      </c>
      <c r="R317" s="240">
        <v>-0.004982327217822306</v>
      </c>
    </row>
    <row r="318">
      <c r="A318" s="236">
        <v>43077.0</v>
      </c>
      <c r="B318" s="33">
        <v>0.014648057315049761</v>
      </c>
      <c r="C318" s="33">
        <v>0.011761106564091817</v>
      </c>
      <c r="D318" s="33">
        <v>0.02640916387914158</v>
      </c>
      <c r="E318" s="33">
        <v>-0.002008707308177697</v>
      </c>
      <c r="F318" s="237">
        <v>-443.75847214387977</v>
      </c>
      <c r="G318" s="237">
        <v>5834.244822973726</v>
      </c>
      <c r="H318" s="240">
        <v>0.0034519573870172376</v>
      </c>
      <c r="I318" s="241">
        <v>4.138</v>
      </c>
      <c r="J318" s="242">
        <v>42.861000000000004</v>
      </c>
      <c r="K318" s="242">
        <v>165.93</v>
      </c>
      <c r="L318" s="242">
        <v>7.23</v>
      </c>
      <c r="M318" s="242">
        <v>101.87</v>
      </c>
      <c r="N318" s="243">
        <v>-5.202136787385651E-4</v>
      </c>
      <c r="O318" s="240">
        <v>0.0017377864449354713</v>
      </c>
      <c r="P318" s="240">
        <v>0.0021481745596104523</v>
      </c>
      <c r="Q318" s="240">
        <v>-0.002093954695133635</v>
      </c>
      <c r="R318" s="240">
        <v>-0.0020376549929333383</v>
      </c>
    </row>
    <row r="319">
      <c r="A319" s="236">
        <v>43076.0</v>
      </c>
      <c r="B319" s="33">
        <v>0.016641549737633557</v>
      </c>
      <c r="C319" s="33">
        <v>0.011776321449685719</v>
      </c>
      <c r="D319" s="33">
        <v>0.028417871187319275</v>
      </c>
      <c r="E319" s="33">
        <v>0.008677597282895418</v>
      </c>
      <c r="F319" s="237">
        <v>1917.0325594279693</v>
      </c>
      <c r="G319" s="237">
        <v>6278.003295117605</v>
      </c>
      <c r="H319" s="240">
        <v>0.0028353130928346257</v>
      </c>
      <c r="I319" s="241">
        <v>4.179</v>
      </c>
      <c r="J319" s="242">
        <v>42.605000000000004</v>
      </c>
      <c r="K319" s="242">
        <v>165.89000000000001</v>
      </c>
      <c r="L319" s="242">
        <v>7.175</v>
      </c>
      <c r="M319" s="242">
        <v>101.92</v>
      </c>
      <c r="N319" s="243">
        <v>0.004277220237597427</v>
      </c>
      <c r="O319" s="240">
        <v>-4.016862645648441E-4</v>
      </c>
      <c r="P319" s="240">
        <v>0.0031596548865449204</v>
      </c>
      <c r="Q319" s="240">
        <v>-0.004629685446632049</v>
      </c>
      <c r="R319" s="240">
        <v>-0.0040205986641404165</v>
      </c>
    </row>
    <row r="320">
      <c r="A320" s="236">
        <v>43075.0</v>
      </c>
      <c r="B320" s="33">
        <v>0.00794869815234217</v>
      </c>
      <c r="C320" s="33">
        <v>0.011791575752081687</v>
      </c>
      <c r="D320" s="33">
        <v>0.019740273904423858</v>
      </c>
      <c r="E320" s="33">
        <v>0.0036869821863339917</v>
      </c>
      <c r="F320" s="237">
        <v>814.5186584269336</v>
      </c>
      <c r="G320" s="237">
        <v>4360.970735689636</v>
      </c>
      <c r="H320" s="240">
        <v>0.003591797131904337</v>
      </c>
      <c r="I320" s="241">
        <v>4.187</v>
      </c>
      <c r="J320" s="242">
        <v>42.497</v>
      </c>
      <c r="K320" s="242">
        <v>166.02</v>
      </c>
      <c r="L320" s="242">
        <v>7.2250000000000005</v>
      </c>
      <c r="M320" s="242">
        <v>102.83</v>
      </c>
      <c r="N320" s="243">
        <v>0.004897183039829263</v>
      </c>
      <c r="O320" s="240">
        <v>-0.0012466575120710372</v>
      </c>
      <c r="P320" s="240">
        <v>0.003420872159034714</v>
      </c>
      <c r="Q320" s="240">
        <v>-0.005055945968441929</v>
      </c>
      <c r="R320" s="240">
        <v>-0.0010444081879499515</v>
      </c>
    </row>
    <row r="321">
      <c r="A321" s="236">
        <v>43074.0</v>
      </c>
      <c r="B321" s="33">
        <v>0.004246422093437383</v>
      </c>
      <c r="C321" s="33">
        <v>0.011806869624652484</v>
      </c>
      <c r="D321" s="33">
        <v>0.016053291718089866</v>
      </c>
      <c r="E321" s="33">
        <v>-0.0038586401907255326</v>
      </c>
      <c r="F321" s="237">
        <v>-852.4409049632718</v>
      </c>
      <c r="G321" s="237">
        <v>3546.4520772627025</v>
      </c>
      <c r="H321" s="240">
        <v>0.00488044130917379</v>
      </c>
      <c r="I321" s="241">
        <v>4.144</v>
      </c>
      <c r="J321" s="242">
        <v>42.637</v>
      </c>
      <c r="K321" s="242">
        <v>164.86</v>
      </c>
      <c r="L321" s="242">
        <v>7.275</v>
      </c>
      <c r="M321" s="242">
        <v>102.49000000000001</v>
      </c>
      <c r="N321" s="243">
        <v>-0.0021701803324718836</v>
      </c>
      <c r="O321" s="240">
        <v>0.0063530846240889395</v>
      </c>
      <c r="P321" s="240">
        <v>0.0016395472786741524</v>
      </c>
      <c r="Q321" s="240">
        <v>-0.0034308041518211732</v>
      </c>
      <c r="R321" s="240">
        <v>-0.003536113009366149</v>
      </c>
    </row>
    <row r="322">
      <c r="A322" s="236">
        <v>43073.0</v>
      </c>
      <c r="B322" s="33">
        <v>0.008089728687247782</v>
      </c>
      <c r="C322" s="33">
        <v>0.011822203221567617</v>
      </c>
      <c r="D322" s="33">
        <v>0.0199119319088154</v>
      </c>
      <c r="E322" s="33">
        <v>0.010947049400104552</v>
      </c>
      <c r="F322" s="237">
        <v>2418.394106745708</v>
      </c>
      <c r="G322" s="237">
        <v>4398.892982225974</v>
      </c>
      <c r="H322" s="240">
        <v>0.0029403095824442494</v>
      </c>
      <c r="I322" s="241">
        <v>4.125</v>
      </c>
      <c r="J322" s="242">
        <v>42.656</v>
      </c>
      <c r="K322" s="242">
        <v>164.32</v>
      </c>
      <c r="L322" s="242">
        <v>7.275</v>
      </c>
      <c r="M322" s="242">
        <v>103.15</v>
      </c>
      <c r="N322" s="243">
        <v>0.0034100741230010875</v>
      </c>
      <c r="O322" s="240">
        <v>0.0030506562658262192</v>
      </c>
      <c r="P322" s="240">
        <v>0.001685576254102721</v>
      </c>
      <c r="Q322" s="240">
        <v>-0.0034308041518211732</v>
      </c>
      <c r="R322" s="240">
        <v>6.700375389618729E-4</v>
      </c>
    </row>
    <row r="323">
      <c r="A323" s="236">
        <v>43071.0</v>
      </c>
      <c r="B323" s="33">
        <v>-0.0028881077004129347</v>
      </c>
      <c r="C323" s="33">
        <v>0.011852990209123782</v>
      </c>
      <c r="D323" s="33">
        <v>0.008964882508710846</v>
      </c>
      <c r="E323" s="33">
        <v>0.00755291471814235</v>
      </c>
      <c r="F323" s="237">
        <v>1668.570568698989</v>
      </c>
      <c r="G323" s="237">
        <v>1980.4988754802662</v>
      </c>
      <c r="H323" s="240">
        <v>-0.0034755852656002217</v>
      </c>
      <c r="I323" s="241">
        <v>4.125</v>
      </c>
      <c r="J323" s="242">
        <v>42.656</v>
      </c>
      <c r="K323" s="242">
        <v>164.32</v>
      </c>
      <c r="L323" s="242">
        <v>7.335</v>
      </c>
      <c r="M323" s="242">
        <v>103.15</v>
      </c>
      <c r="N323" s="243">
        <v>0.002493354568667877</v>
      </c>
      <c r="O323" s="240">
        <v>0.003831591968786649</v>
      </c>
      <c r="P323" s="240">
        <v>-1.290097552352331E-4</v>
      </c>
      <c r="Q323" s="240">
        <v>-0.0015886927368084312</v>
      </c>
      <c r="R323" s="240">
        <v>-0.0023090441267333596</v>
      </c>
    </row>
    <row r="324">
      <c r="A324" s="236">
        <v>43070.0</v>
      </c>
      <c r="B324" s="33">
        <v>-0.010435746336066228</v>
      </c>
      <c r="C324" s="33">
        <v>0.011847714126634724</v>
      </c>
      <c r="D324" s="33">
        <v>0.0014119677905684962</v>
      </c>
      <c r="E324" s="33">
        <v>-0.009679035370914154</v>
      </c>
      <c r="F324" s="237">
        <v>-2138.267696113483</v>
      </c>
      <c r="G324" s="237">
        <v>311.9283067812772</v>
      </c>
      <c r="H324" s="240">
        <v>-0.001167909775191547</v>
      </c>
      <c r="I324" s="241">
        <v>4.171</v>
      </c>
      <c r="J324" s="242">
        <v>41.824</v>
      </c>
      <c r="K324" s="242">
        <v>164.05</v>
      </c>
      <c r="L324" s="242">
        <v>7.3500000000000005</v>
      </c>
      <c r="M324" s="242">
        <v>103.58</v>
      </c>
      <c r="N324" s="243">
        <v>0.002323839189802819</v>
      </c>
      <c r="O324" s="240">
        <v>-1.398691350205462E-4</v>
      </c>
      <c r="P324" s="240">
        <v>-0.0016906323940816495</v>
      </c>
      <c r="Q324" s="240">
        <v>-6.808874612712419E-4</v>
      </c>
      <c r="R324" s="240">
        <v>-0.003358662949093204</v>
      </c>
    </row>
    <row r="325">
      <c r="A325" s="236">
        <v>43069.0</v>
      </c>
      <c r="B325" s="33">
        <v>-5.497713545283561E-4</v>
      </c>
      <c r="C325" s="33">
        <v>0.011640774516011006</v>
      </c>
      <c r="D325" s="33">
        <v>0.01109100316148265</v>
      </c>
      <c r="E325" s="33">
        <v>-0.00830063514402886</v>
      </c>
      <c r="F325" s="237">
        <v>-1833.7550494998209</v>
      </c>
      <c r="G325" s="237">
        <v>2450.19600289476</v>
      </c>
      <c r="H325" s="240">
        <v>0.0017800322093772531</v>
      </c>
      <c r="I325" s="241">
        <v>4.082</v>
      </c>
      <c r="J325" s="242">
        <v>42.257</v>
      </c>
      <c r="K325" s="242">
        <v>163.49</v>
      </c>
      <c r="L325" s="242">
        <v>7.3500000000000005</v>
      </c>
      <c r="M325" s="242">
        <v>102.94</v>
      </c>
      <c r="N325" s="243">
        <v>-0.004854028254646612</v>
      </c>
      <c r="O325" s="240">
        <v>0.005852649155400479</v>
      </c>
      <c r="P325" s="240">
        <v>-0.0011707255578690936</v>
      </c>
      <c r="Q325" s="240">
        <v>-6.808874612712419E-4</v>
      </c>
      <c r="R325" s="240">
        <v>-0.004653590467591179</v>
      </c>
    </row>
    <row r="326">
      <c r="A326" s="236">
        <v>43068.0</v>
      </c>
      <c r="B326" s="33">
        <v>0.0053295697976165285</v>
      </c>
      <c r="C326" s="33">
        <v>0.014062068507894983</v>
      </c>
      <c r="D326" s="33">
        <v>0.01939163830551151</v>
      </c>
      <c r="E326" s="33">
        <v>0.00726891575243443</v>
      </c>
      <c r="F326" s="237">
        <v>1605.830244810129</v>
      </c>
      <c r="G326" s="237">
        <v>4283.951052394581</v>
      </c>
      <c r="H326" s="240">
        <v>0.0013571987111569764</v>
      </c>
      <c r="I326" s="241">
        <v>4.093</v>
      </c>
      <c r="J326" s="242">
        <v>42.158</v>
      </c>
      <c r="K326" s="242">
        <v>164.38</v>
      </c>
      <c r="L326" s="242">
        <v>7.37</v>
      </c>
      <c r="M326" s="242">
        <v>103.86</v>
      </c>
      <c r="N326" s="243">
        <v>-0.003589796884911686</v>
      </c>
      <c r="O326" s="240">
        <v>0.005240310962013985</v>
      </c>
      <c r="P326" s="240">
        <v>0.0013956179385670859</v>
      </c>
      <c r="Q326" s="240">
        <v>2.2614201718678848E-4</v>
      </c>
      <c r="R326" s="240">
        <v>0.0011038012191808574</v>
      </c>
    </row>
    <row r="327">
      <c r="A327" s="236">
        <v>43067.0</v>
      </c>
      <c r="B327" s="33">
        <v>-0.0020132595869224845</v>
      </c>
      <c r="C327" s="33">
        <v>0.014135982139999566</v>
      </c>
      <c r="D327" s="33">
        <v>0.012122722553077081</v>
      </c>
      <c r="E327" s="33">
        <v>0.00637181601972619</v>
      </c>
      <c r="F327" s="237">
        <v>1407.645270261276</v>
      </c>
      <c r="G327" s="237">
        <v>2678.120807584452</v>
      </c>
      <c r="H327" s="240">
        <v>-0.004241315376719619</v>
      </c>
      <c r="I327" s="241">
        <v>4.141</v>
      </c>
      <c r="J327" s="242">
        <v>41.838</v>
      </c>
      <c r="K327" s="242">
        <v>164.88</v>
      </c>
      <c r="L327" s="242">
        <v>7.365</v>
      </c>
      <c r="M327" s="242">
        <v>104.62</v>
      </c>
      <c r="N327" s="243">
        <v>-8.352034004688033E-4</v>
      </c>
      <c r="O327" s="240">
        <v>8.305380036307368E-4</v>
      </c>
      <c r="P327" s="240">
        <v>-6.042981537902568E-4</v>
      </c>
      <c r="Q327" s="240">
        <v>-4.5259108395563646E-4</v>
      </c>
      <c r="R327" s="240">
        <v>6.505732971400467E-5</v>
      </c>
    </row>
    <row r="328">
      <c r="A328" s="236">
        <v>43064.0</v>
      </c>
      <c r="B328" s="33">
        <v>-0.008385075606648675</v>
      </c>
      <c r="C328" s="33">
        <v>0.014135982139999566</v>
      </c>
      <c r="D328" s="33">
        <v>0.005750906533350891</v>
      </c>
      <c r="E328" s="33">
        <v>-0.00956913563868969</v>
      </c>
      <c r="F328" s="237">
        <v>-2113.988928837432</v>
      </c>
      <c r="G328" s="237">
        <v>1270.475537323176</v>
      </c>
      <c r="H328" s="240">
        <v>-0.006057736176434249</v>
      </c>
      <c r="I328" s="241">
        <v>4.142</v>
      </c>
      <c r="J328" s="242">
        <v>41.519</v>
      </c>
      <c r="K328" s="242">
        <v>164.06</v>
      </c>
      <c r="L328" s="242">
        <v>7.365</v>
      </c>
      <c r="M328" s="242">
        <v>104.38</v>
      </c>
      <c r="N328" s="243">
        <v>2.0511992016657705E-4</v>
      </c>
      <c r="O328" s="240">
        <v>-0.003196681614969983</v>
      </c>
      <c r="P328" s="240">
        <v>-0.00345276188012938</v>
      </c>
      <c r="Q328" s="240">
        <v>-0.002712478089605346</v>
      </c>
      <c r="R328" s="240">
        <v>-0.0023250092142729946</v>
      </c>
    </row>
    <row r="329">
      <c r="A329" s="236">
        <v>43063.0</v>
      </c>
      <c r="B329" s="33">
        <v>0.0011654600555410163</v>
      </c>
      <c r="C329" s="33">
        <v>0.014154582116499566</v>
      </c>
      <c r="D329" s="33">
        <v>0.015320042172040582</v>
      </c>
      <c r="E329" s="33">
        <v>-0.0023196010742614105</v>
      </c>
      <c r="F329" s="237">
        <v>-512.4403264263365</v>
      </c>
      <c r="G329" s="237">
        <v>3384.464466160608</v>
      </c>
      <c r="H329" s="240">
        <v>-0.0018122669002474182</v>
      </c>
      <c r="I329" s="241">
        <v>4.138</v>
      </c>
      <c r="J329" s="242">
        <v>41.498</v>
      </c>
      <c r="K329" s="242">
        <v>163.69</v>
      </c>
      <c r="L329" s="242">
        <v>7.365</v>
      </c>
      <c r="M329" s="242">
        <v>103.51</v>
      </c>
      <c r="N329" s="243">
        <v>8.312502217410407E-4</v>
      </c>
      <c r="O329" s="240">
        <v>-0.005059062224882685</v>
      </c>
      <c r="P329" s="240">
        <v>-0.004848020010728292</v>
      </c>
      <c r="Q329" s="240">
        <v>-0.004283746327540257</v>
      </c>
      <c r="R329" s="240">
        <v>-0.004183560275628878</v>
      </c>
    </row>
    <row r="330">
      <c r="A330" s="236">
        <v>43062.0</v>
      </c>
      <c r="B330" s="33">
        <v>0.0034664121415066453</v>
      </c>
      <c r="C330" s="33">
        <v>0.014173231104795347</v>
      </c>
      <c r="D330" s="33">
        <v>0.017639643246301993</v>
      </c>
      <c r="E330" s="33">
        <v>-0.006284471816351646</v>
      </c>
      <c r="F330" s="237">
        <v>-1388.3494126306914</v>
      </c>
      <c r="G330" s="237">
        <v>3896.9047925869445</v>
      </c>
      <c r="H330" s="240">
        <v>0.0010277352081887587</v>
      </c>
      <c r="I330" s="241">
        <v>4.151</v>
      </c>
      <c r="J330" s="242">
        <v>41.732</v>
      </c>
      <c r="K330" s="242">
        <v>165.17000000000002</v>
      </c>
      <c r="L330" s="242">
        <v>7.375</v>
      </c>
      <c r="M330" s="242">
        <v>104.59</v>
      </c>
      <c r="N330" s="243">
        <v>0.0029906925638705857</v>
      </c>
      <c r="O330" s="240">
        <v>-9.404055204968323E-4</v>
      </c>
      <c r="P330" s="240">
        <v>-0.0017338398179966438</v>
      </c>
      <c r="Q330" s="240">
        <v>-0.0031609139567213645</v>
      </c>
      <c r="R330" s="240">
        <v>-5.784211131160576E-4</v>
      </c>
    </row>
    <row r="331">
      <c r="A331" s="236">
        <v>43061.0</v>
      </c>
      <c r="B331" s="33">
        <v>0.009732185763788646</v>
      </c>
      <c r="C331" s="33">
        <v>0.014191929298864992</v>
      </c>
      <c r="D331" s="33">
        <v>0.02392411506265364</v>
      </c>
      <c r="E331" s="33">
        <v>0.003167272189870802</v>
      </c>
      <c r="F331" s="237">
        <v>699.7056575235665</v>
      </c>
      <c r="G331" s="237">
        <v>5285.254205217636</v>
      </c>
      <c r="H331" s="240">
        <v>0.002959429832124541</v>
      </c>
      <c r="I331" s="241">
        <v>4.139</v>
      </c>
      <c r="J331" s="242">
        <v>41.918</v>
      </c>
      <c r="K331" s="242">
        <v>165.76</v>
      </c>
      <c r="L331" s="242">
        <v>7.425</v>
      </c>
      <c r="M331" s="242">
        <v>105.10000000000001</v>
      </c>
      <c r="N331" s="243">
        <v>0.0020198861010732438</v>
      </c>
      <c r="O331" s="240">
        <v>5.452649482082378E-4</v>
      </c>
      <c r="P331" s="240">
        <v>-5.43147400083837E-4</v>
      </c>
      <c r="Q331" s="240">
        <v>8.898841749637173E-4</v>
      </c>
      <c r="R331" s="240">
        <v>0.0010469732840538602</v>
      </c>
    </row>
    <row r="332">
      <c r="A332" s="236">
        <v>43060.0</v>
      </c>
      <c r="B332" s="33">
        <v>0.0065461659790712595</v>
      </c>
      <c r="C332" s="33">
        <v>0.014210676893711579</v>
      </c>
      <c r="D332" s="33">
        <v>0.020756842872782837</v>
      </c>
      <c r="E332" s="33">
        <v>0.00620040525104712</v>
      </c>
      <c r="F332" s="237">
        <v>1369.7776424051112</v>
      </c>
      <c r="G332" s="237">
        <v>4585.548547694069</v>
      </c>
      <c r="H332" s="240">
        <v>0.004827440782955684</v>
      </c>
      <c r="I332" s="241">
        <v>4.127</v>
      </c>
      <c r="J332" s="242">
        <v>42.131</v>
      </c>
      <c r="K332" s="242">
        <v>166.08</v>
      </c>
      <c r="L332" s="242">
        <v>7.46</v>
      </c>
      <c r="M332" s="242">
        <v>104.81</v>
      </c>
      <c r="N332" s="243">
        <v>7.663671299129277E-4</v>
      </c>
      <c r="O332" s="240">
        <v>0.003712634998142325</v>
      </c>
      <c r="P332" s="240">
        <v>8.632675761679502E-4</v>
      </c>
      <c r="Q332" s="240">
        <v>0.002236079264125282</v>
      </c>
      <c r="R332" s="240">
        <v>-3.1864292319445985E-5</v>
      </c>
    </row>
    <row r="333">
      <c r="A333" s="236">
        <v>43059.0</v>
      </c>
      <c r="B333" s="33">
        <v>3.2696353636579135E-4</v>
      </c>
      <c r="C333" s="33">
        <v>0.014229474085369925</v>
      </c>
      <c r="D333" s="33">
        <v>0.014556437621735717</v>
      </c>
      <c r="E333" s="33">
        <v>-4.893879445442978E-4</v>
      </c>
      <c r="F333" s="237">
        <v>-108.11433087960904</v>
      </c>
      <c r="G333" s="237">
        <v>3215.770905288958</v>
      </c>
      <c r="H333" s="240">
        <v>-8.77465939921602E-4</v>
      </c>
      <c r="I333" s="241">
        <v>4.114</v>
      </c>
      <c r="J333" s="242">
        <v>41.848</v>
      </c>
      <c r="K333" s="242">
        <v>166.03</v>
      </c>
      <c r="L333" s="242">
        <v>7.445</v>
      </c>
      <c r="M333" s="242">
        <v>104.77</v>
      </c>
      <c r="N333" s="243">
        <v>-3.497873687255372E-4</v>
      </c>
      <c r="O333" s="240">
        <v>6.575151352756886E-4</v>
      </c>
      <c r="P333" s="240">
        <v>3.4033660863396967E-4</v>
      </c>
      <c r="Q333" s="240">
        <v>0.003365208197684879</v>
      </c>
      <c r="R333" s="240">
        <v>0.0013991481848486288</v>
      </c>
    </row>
    <row r="334">
      <c r="A334" s="236">
        <v>43057.0</v>
      </c>
      <c r="B334" s="33">
        <v>7.786075178189171E-4</v>
      </c>
      <c r="C334" s="33">
        <v>0.014267218048461098</v>
      </c>
      <c r="D334" s="33">
        <v>0.015045825566280015</v>
      </c>
      <c r="E334" s="33">
        <v>0.00877130504236423</v>
      </c>
      <c r="F334" s="237">
        <v>1937.7342375672456</v>
      </c>
      <c r="G334" s="237">
        <v>3323.885236168567</v>
      </c>
      <c r="H334" s="240">
        <v>0.006147074198714715</v>
      </c>
      <c r="I334" s="241">
        <v>4.114</v>
      </c>
      <c r="J334" s="242">
        <v>41.848</v>
      </c>
      <c r="K334" s="242">
        <v>166.03</v>
      </c>
      <c r="L334" s="242">
        <v>7.405</v>
      </c>
      <c r="M334" s="242">
        <v>104.77</v>
      </c>
      <c r="N334" s="243">
        <v>0.00111802558996599</v>
      </c>
      <c r="O334" s="240">
        <v>0.0030917702931032138</v>
      </c>
      <c r="P334" s="240">
        <v>-0.0021919195109849675</v>
      </c>
      <c r="Q334" s="240">
        <v>0.0015742970716495072</v>
      </c>
      <c r="R334" s="240">
        <v>0.002421545066538118</v>
      </c>
    </row>
    <row r="335">
      <c r="A335" s="236">
        <v>43056.0</v>
      </c>
      <c r="B335" s="33">
        <v>-0.008312761320488858</v>
      </c>
      <c r="C335" s="33">
        <v>0.014587281844404642</v>
      </c>
      <c r="D335" s="33">
        <v>0.0062745205239157845</v>
      </c>
      <c r="E335" s="33">
        <v>-0.010914314917584739</v>
      </c>
      <c r="F335" s="237">
        <v>-2411.1624887343255</v>
      </c>
      <c r="G335" s="237">
        <v>1386.1509986013216</v>
      </c>
      <c r="H335" s="240">
        <v>-3.068996258380919E-4</v>
      </c>
      <c r="I335" s="241">
        <v>4.118</v>
      </c>
      <c r="J335" s="242">
        <v>41.663000000000004</v>
      </c>
      <c r="K335" s="242">
        <v>165.65</v>
      </c>
      <c r="L335" s="242">
        <v>7.41</v>
      </c>
      <c r="M335" s="242">
        <v>104.82000000000001</v>
      </c>
      <c r="N335" s="243">
        <v>0.003012617411855831</v>
      </c>
      <c r="O335" s="240">
        <v>1.790452184073759E-4</v>
      </c>
      <c r="P335" s="240">
        <v>-0.0029947253388693256</v>
      </c>
      <c r="Q335" s="240">
        <v>0.0015732282032360652</v>
      </c>
      <c r="R335" s="240">
        <v>0.0015550812673971726</v>
      </c>
    </row>
    <row r="336">
      <c r="A336" s="236">
        <v>43055.0</v>
      </c>
      <c r="B336" s="33">
        <v>0.002582155615919807</v>
      </c>
      <c r="C336" s="33">
        <v>0.014606679825580718</v>
      </c>
      <c r="D336" s="33">
        <v>0.017188835441500523</v>
      </c>
      <c r="E336" s="33">
        <v>0.020584232471364653</v>
      </c>
      <c r="F336" s="237">
        <v>4547.41590004668</v>
      </c>
      <c r="G336" s="237">
        <v>3797.313487335647</v>
      </c>
      <c r="H336" s="240">
        <v>0.0010232347201309898</v>
      </c>
      <c r="I336" s="241">
        <v>4.119</v>
      </c>
      <c r="J336" s="242">
        <v>41.765</v>
      </c>
      <c r="K336" s="242">
        <v>165.86</v>
      </c>
      <c r="L336" s="242">
        <v>7.37</v>
      </c>
      <c r="M336" s="242">
        <v>104.33</v>
      </c>
      <c r="N336" s="243">
        <v>0.004564009407878762</v>
      </c>
      <c r="O336" s="240">
        <v>-0.002991530100969745</v>
      </c>
      <c r="P336" s="240">
        <v>-0.005543708382172683</v>
      </c>
      <c r="Q336" s="240">
        <v>-2.2614201718678848E-4</v>
      </c>
      <c r="R336" s="240">
        <v>-0.002846686861302796</v>
      </c>
    </row>
    <row r="337">
      <c r="A337" s="236">
        <v>43054.0</v>
      </c>
      <c r="B337" s="33">
        <v>-0.018021526495691966</v>
      </c>
      <c r="C337" s="33">
        <v>0.014626129465827836</v>
      </c>
      <c r="D337" s="33">
        <v>-0.00339539702986413</v>
      </c>
      <c r="E337" s="33">
        <v>-0.01059061643129419</v>
      </c>
      <c r="F337" s="237">
        <v>-2339.6518484699186</v>
      </c>
      <c r="G337" s="237">
        <v>-750.102412711033</v>
      </c>
      <c r="H337" s="240">
        <v>-0.00500578118816923</v>
      </c>
      <c r="I337" s="241">
        <v>4.1</v>
      </c>
      <c r="J337" s="242">
        <v>41.46</v>
      </c>
      <c r="K337" s="242">
        <v>167.12</v>
      </c>
      <c r="L337" s="242">
        <v>7.37</v>
      </c>
      <c r="M337" s="242">
        <v>104.01</v>
      </c>
      <c r="N337" s="243">
        <v>0.003096196449187235</v>
      </c>
      <c r="O337" s="240">
        <v>-0.00542578525879727</v>
      </c>
      <c r="P337" s="240">
        <v>-0.003011452262553745</v>
      </c>
      <c r="Q337" s="240">
        <v>-0.009265690039785666</v>
      </c>
      <c r="R337" s="240">
        <v>-0.003869083742992285</v>
      </c>
    </row>
    <row r="338">
      <c r="A338" s="236">
        <v>43053.0</v>
      </c>
      <c r="B338" s="33">
        <v>-0.0074504115703522035</v>
      </c>
      <c r="C338" s="33">
        <v>0.014645630971782264</v>
      </c>
      <c r="D338" s="33">
        <v>0.00719521940143006</v>
      </c>
      <c r="E338" s="33">
        <v>-0.006923911879677494</v>
      </c>
      <c r="F338" s="237">
        <v>-1529.6128731527165</v>
      </c>
      <c r="G338" s="237">
        <v>1589.5494357588855</v>
      </c>
      <c r="H338" s="240">
        <v>-0.006762160463931864</v>
      </c>
      <c r="I338" s="241">
        <v>4.081</v>
      </c>
      <c r="J338" s="242">
        <v>41.639</v>
      </c>
      <c r="K338" s="242">
        <v>167.14000000000001</v>
      </c>
      <c r="L338" s="242">
        <v>7.375</v>
      </c>
      <c r="M338" s="242">
        <v>104.33</v>
      </c>
      <c r="N338" s="243">
        <v>0.0019775132275132216</v>
      </c>
      <c r="O338" s="240">
        <v>-0.0033063265919717586</v>
      </c>
      <c r="P338" s="240">
        <v>-0.003090163625749377</v>
      </c>
      <c r="Q338" s="240">
        <v>-0.009039548022598877</v>
      </c>
      <c r="R338" s="240">
        <v>-0.0025584244292707926</v>
      </c>
    </row>
    <row r="339">
      <c r="A339" s="236">
        <v>43052.0</v>
      </c>
      <c r="B339" s="33">
        <v>-5.460532700762895E-4</v>
      </c>
      <c r="C339" s="33">
        <v>0.014665184551183843</v>
      </c>
      <c r="D339" s="33">
        <v>0.014119131281107554</v>
      </c>
      <c r="E339" s="33">
        <v>0.0024971847464639943</v>
      </c>
      <c r="F339" s="237">
        <v>551.6716563137202</v>
      </c>
      <c r="G339" s="237">
        <v>3119.162308911602</v>
      </c>
      <c r="H339" s="240">
        <v>-0.0070642704044609345</v>
      </c>
      <c r="I339" s="241">
        <v>4.062</v>
      </c>
      <c r="J339" s="242">
        <v>42.137</v>
      </c>
      <c r="K339" s="242">
        <v>168.63</v>
      </c>
      <c r="L339" s="242">
        <v>7.375</v>
      </c>
      <c r="M339" s="242">
        <v>105.22</v>
      </c>
      <c r="N339" s="243">
        <v>-0.002910397889906101</v>
      </c>
      <c r="O339" s="240">
        <v>-3.184666452622149E-4</v>
      </c>
      <c r="P339" s="240">
        <v>-0.001916773071935697</v>
      </c>
      <c r="Q339" s="240">
        <v>-0.008819526020398663</v>
      </c>
      <c r="R339" s="240">
        <v>-0.0021245980581579703</v>
      </c>
    </row>
    <row r="340">
      <c r="A340" s="236">
        <v>43050.0</v>
      </c>
      <c r="B340" s="33">
        <v>-0.0030825022322061133</v>
      </c>
      <c r="C340" s="33">
        <v>0.014704448766849672</v>
      </c>
      <c r="D340" s="33">
        <v>0.01162194653464356</v>
      </c>
      <c r="E340" s="33">
        <v>-0.01585975425858209</v>
      </c>
      <c r="F340" s="237">
        <v>-3503.696277558019</v>
      </c>
      <c r="G340" s="237">
        <v>2567.4906525978818</v>
      </c>
      <c r="H340" s="240">
        <v>-0.008717526160938445</v>
      </c>
      <c r="I340" s="241">
        <v>4.062</v>
      </c>
      <c r="J340" s="242">
        <v>42.137</v>
      </c>
      <c r="K340" s="242">
        <v>168.63</v>
      </c>
      <c r="L340" s="242">
        <v>7.575</v>
      </c>
      <c r="M340" s="242">
        <v>105.22</v>
      </c>
      <c r="N340" s="243">
        <v>-0.0055798745319855314</v>
      </c>
      <c r="O340" s="240">
        <v>-0.002491847081676995</v>
      </c>
      <c r="P340" s="240">
        <v>-0.0042556095499231145</v>
      </c>
      <c r="Q340" s="240">
        <v>-0.0017614839423176149</v>
      </c>
      <c r="R340" s="240">
        <v>-0.004202225785044351</v>
      </c>
    </row>
    <row r="341">
      <c r="A341" s="236">
        <v>43049.0</v>
      </c>
      <c r="B341" s="33">
        <v>0.012757540969047769</v>
      </c>
      <c r="C341" s="33">
        <v>0.01472415982417788</v>
      </c>
      <c r="D341" s="33">
        <v>0.02748170079322565</v>
      </c>
      <c r="E341" s="33">
        <v>-0.007830241701264708</v>
      </c>
      <c r="F341" s="237">
        <v>-1729.8369352889003</v>
      </c>
      <c r="G341" s="237">
        <v>6071.186930155901</v>
      </c>
      <c r="H341" s="240">
        <v>-0.004706630270916917</v>
      </c>
      <c r="I341" s="241">
        <v>4.056</v>
      </c>
      <c r="J341" s="242">
        <v>42.051</v>
      </c>
      <c r="K341" s="242">
        <v>168.69</v>
      </c>
      <c r="L341" s="242">
        <v>7.575</v>
      </c>
      <c r="M341" s="242">
        <v>105.13</v>
      </c>
      <c r="N341" s="243">
        <v>-0.005866832474964706</v>
      </c>
      <c r="O341" s="240">
        <v>-0.004161520304076673</v>
      </c>
      <c r="P341" s="240">
        <v>-0.004742038211784716</v>
      </c>
      <c r="Q341" s="240">
        <v>-0.002636949033147099</v>
      </c>
      <c r="R341" s="240">
        <v>-0.0018594684455253384</v>
      </c>
    </row>
    <row r="342">
      <c r="A342" s="236">
        <v>43048.0</v>
      </c>
      <c r="B342" s="33">
        <v>0.02052751085721818</v>
      </c>
      <c r="C342" s="33">
        <v>0.014784431637272178</v>
      </c>
      <c r="D342" s="9">
        <v>0.03531194249449036</v>
      </c>
      <c r="E342" s="9">
        <v>-0.0024625825229685344</v>
      </c>
      <c r="F342" s="237">
        <v>-544.0274217512169</v>
      </c>
      <c r="G342" s="237">
        <v>7801.023865444801</v>
      </c>
      <c r="H342" s="240">
        <v>0.001168728755009676</v>
      </c>
      <c r="I342" s="241">
        <v>4.098</v>
      </c>
      <c r="J342" s="242">
        <v>42.177</v>
      </c>
      <c r="K342" s="242">
        <v>169.6</v>
      </c>
      <c r="L342" s="242">
        <v>7.57</v>
      </c>
      <c r="M342" s="242">
        <v>105.89</v>
      </c>
      <c r="N342" s="243">
        <v>-8.564976786363962E-4</v>
      </c>
      <c r="O342" s="240">
        <v>-0.00244248635428552</v>
      </c>
      <c r="P342" s="240">
        <v>-0.0019697787716047546</v>
      </c>
      <c r="Q342" s="240">
        <v>-0.0028569710353473147</v>
      </c>
      <c r="R342" s="240">
        <v>4.2411527100606186E-4</v>
      </c>
    </row>
    <row r="343">
      <c r="A343" s="236">
        <v>43047.0</v>
      </c>
      <c r="B343" s="33">
        <v>0.02297022183228715</v>
      </c>
      <c r="C343" s="33">
        <v>0.014804303185171739</v>
      </c>
      <c r="D343" s="9">
        <v>0.03777452501745889</v>
      </c>
      <c r="E343" s="9">
        <v>-0.0038270665885175095</v>
      </c>
      <c r="F343" s="237">
        <v>-845.4657456561526</v>
      </c>
      <c r="G343" s="237">
        <v>8345.051287196018</v>
      </c>
      <c r="H343" s="240">
        <v>0.002153497581770062</v>
      </c>
      <c r="I343" s="241">
        <v>4.131</v>
      </c>
      <c r="J343" s="242">
        <v>42.452</v>
      </c>
      <c r="K343" s="242">
        <v>170.79</v>
      </c>
      <c r="L343" s="242">
        <v>7.615</v>
      </c>
      <c r="M343" s="242">
        <v>106.55</v>
      </c>
      <c r="N343" s="243">
        <v>0.0018129789634430344</v>
      </c>
      <c r="O343" s="240">
        <v>-2.691059178707397E-4</v>
      </c>
      <c r="P343" s="240">
        <v>3.6905770638266227E-4</v>
      </c>
      <c r="Q343" s="240">
        <v>-0.0019669298365182146</v>
      </c>
      <c r="R343" s="240">
        <v>0.0025017429978924422</v>
      </c>
    </row>
    <row r="344">
      <c r="A344" s="236">
        <v>43046.0</v>
      </c>
      <c r="B344" s="33">
        <v>0.02579178908345716</v>
      </c>
      <c r="C344" s="33">
        <v>0.01580980252251924</v>
      </c>
      <c r="D344" s="9">
        <v>0.0416015916059764</v>
      </c>
      <c r="E344" s="9">
        <v>0.009795835376515072</v>
      </c>
      <c r="F344" s="237">
        <v>2164.0708541051163</v>
      </c>
      <c r="G344" s="237">
        <v>9190.51703285217</v>
      </c>
      <c r="H344" s="240">
        <v>0.005371203235878786</v>
      </c>
      <c r="I344" s="241">
        <v>4.128</v>
      </c>
      <c r="J344" s="242">
        <v>42.578</v>
      </c>
      <c r="K344" s="242">
        <v>171.1</v>
      </c>
      <c r="L344" s="242">
        <v>7.635</v>
      </c>
      <c r="M344" s="242">
        <v>105.71000000000001</v>
      </c>
      <c r="N344" s="243">
        <v>0.002584915601144457</v>
      </c>
      <c r="O344" s="240">
        <v>0.0018971050219952496</v>
      </c>
      <c r="P344" s="240">
        <v>0.0019901111101213796</v>
      </c>
      <c r="Q344" s="240">
        <v>0.0036953063596202487</v>
      </c>
      <c r="R344" s="240">
        <v>0.0027737899582388117</v>
      </c>
    </row>
    <row r="345">
      <c r="A345" s="236">
        <v>43045.0</v>
      </c>
      <c r="B345" s="33">
        <v>0.015974646695456205</v>
      </c>
      <c r="C345" s="33">
        <v>0.015831109534005124</v>
      </c>
      <c r="D345" s="9">
        <v>0.03180575622946133</v>
      </c>
      <c r="E345" s="9">
        <v>4.917239573126245E-4</v>
      </c>
      <c r="F345" s="237">
        <v>108.63039683544048</v>
      </c>
      <c r="G345" s="237">
        <v>7026.446178747055</v>
      </c>
      <c r="H345" s="240">
        <v>0.004258574661036861</v>
      </c>
      <c r="I345" s="241">
        <v>4.108</v>
      </c>
      <c r="J345" s="242">
        <v>42.486000000000004</v>
      </c>
      <c r="K345" s="242">
        <v>170.6</v>
      </c>
      <c r="L345" s="242">
        <v>7.635</v>
      </c>
      <c r="M345" s="242">
        <v>105.75</v>
      </c>
      <c r="N345" s="243">
        <v>0.0018243585326789599</v>
      </c>
      <c r="O345" s="240">
        <v>0.00365701698935002</v>
      </c>
      <c r="P345" s="240">
        <v>0.0028386935674616916</v>
      </c>
      <c r="Q345" s="240">
        <v>0.005240560222754873</v>
      </c>
      <c r="R345" s="240">
        <v>0.0021367808753667283</v>
      </c>
    </row>
    <row r="346">
      <c r="A346" s="236">
        <v>43043.0</v>
      </c>
      <c r="B346" s="33">
        <v>0.015440135955619244</v>
      </c>
      <c r="C346" s="33">
        <v>0.01587389631652946</v>
      </c>
      <c r="D346" s="9">
        <v>0.031314032272148705</v>
      </c>
      <c r="E346" s="9">
        <v>0.00582605037380866</v>
      </c>
      <c r="F346" s="237">
        <v>1287.0761220359464</v>
      </c>
      <c r="G346" s="237">
        <v>6917.815781911614</v>
      </c>
      <c r="H346" s="240">
        <v>0.0046224810484947814</v>
      </c>
      <c r="I346" s="241">
        <v>4.108</v>
      </c>
      <c r="J346" s="242">
        <v>42.486000000000004</v>
      </c>
      <c r="K346" s="242">
        <v>170.6</v>
      </c>
      <c r="L346" s="242">
        <v>7.66</v>
      </c>
      <c r="M346" s="242">
        <v>105.75</v>
      </c>
      <c r="N346" s="243">
        <v>0.002388016674016196</v>
      </c>
      <c r="O346" s="240">
        <v>0.002237092031194161</v>
      </c>
      <c r="P346" s="240">
        <v>0.001774549316796617</v>
      </c>
      <c r="Q346" s="240">
        <v>0.006332024968443604</v>
      </c>
      <c r="R346" s="240">
        <v>8.043358387244846E-4</v>
      </c>
    </row>
    <row r="347">
      <c r="A347" s="236">
        <v>43042.0</v>
      </c>
      <c r="B347" s="33">
        <v>0.00959260534322259</v>
      </c>
      <c r="C347" s="33">
        <v>0.015895376555117455</v>
      </c>
      <c r="D347" s="9">
        <v>0.025487981898340045</v>
      </c>
      <c r="E347" s="9">
        <v>0.006457949651989297</v>
      </c>
      <c r="F347" s="237">
        <v>1426.6736916234477</v>
      </c>
      <c r="G347" s="237">
        <v>5630.739659875668</v>
      </c>
      <c r="H347" s="240">
        <v>0.0029835985653337144</v>
      </c>
      <c r="I347" s="241">
        <v>4.096</v>
      </c>
      <c r="J347" s="242">
        <v>42.336</v>
      </c>
      <c r="K347" s="242">
        <v>170.08</v>
      </c>
      <c r="L347" s="242">
        <v>7.55</v>
      </c>
      <c r="M347" s="242">
        <v>104.83</v>
      </c>
      <c r="N347" s="243">
        <v>0.0035948811715076838</v>
      </c>
      <c r="O347" s="240">
        <v>0.0024662369315605497</v>
      </c>
      <c r="P347" s="240">
        <v>0.001858572613675449</v>
      </c>
      <c r="Q347" s="240">
        <v>0.0035412618471665973</v>
      </c>
      <c r="R347" s="240">
        <v>6.218918109628984E-4</v>
      </c>
    </row>
    <row r="348">
      <c r="A348" s="236">
        <v>43041.0</v>
      </c>
      <c r="B348" s="33">
        <v>0.0031131172406165955</v>
      </c>
      <c r="C348" s="33">
        <v>0.015916915005734153</v>
      </c>
      <c r="D348" s="9">
        <v>0.019030032246350748</v>
      </c>
      <c r="E348" s="9">
        <v>0.0015834431196863862</v>
      </c>
      <c r="F348" s="237">
        <v>349.81019716417995</v>
      </c>
      <c r="G348" s="237">
        <v>4204.06596825222</v>
      </c>
      <c r="H348" s="240">
        <v>0.003544975386186757</v>
      </c>
      <c r="I348" s="241">
        <v>4.086</v>
      </c>
      <c r="J348" s="242">
        <v>42.021</v>
      </c>
      <c r="K348" s="242">
        <v>169.15</v>
      </c>
      <c r="L348" s="242">
        <v>7.515000000000001</v>
      </c>
      <c r="M348" s="242">
        <v>105.07000000000001</v>
      </c>
      <c r="N348" s="243">
        <v>0.003959262548181767</v>
      </c>
      <c r="O348" s="240">
        <v>1.526576121866708E-4</v>
      </c>
      <c r="P348" s="240">
        <v>-2.991470609355392E-4</v>
      </c>
      <c r="Q348" s="240">
        <v>0.001996007984031972</v>
      </c>
      <c r="R348" s="240">
        <v>-0.0011636314111641473</v>
      </c>
    </row>
    <row r="349">
      <c r="A349" s="236">
        <v>43040.0</v>
      </c>
      <c r="B349" s="33">
        <v>0.0017955081210223622</v>
      </c>
      <c r="C349" s="33">
        <v>0.015651081005641998</v>
      </c>
      <c r="D349" s="9">
        <v>0.01744658912666436</v>
      </c>
      <c r="E349" s="9">
        <v>9.0940292432546E-4</v>
      </c>
      <c r="F349" s="237">
        <v>200.90296411971985</v>
      </c>
      <c r="G349" s="237">
        <v>3854.25577108804</v>
      </c>
      <c r="H349" s="240">
        <v>0.0013517889462274304</v>
      </c>
      <c r="I349" s="241">
        <v>4.079</v>
      </c>
      <c r="J349" s="242">
        <v>42.2</v>
      </c>
      <c r="K349" s="242">
        <v>169.69</v>
      </c>
      <c r="L349" s="242">
        <v>7.515000000000001</v>
      </c>
      <c r="M349" s="242">
        <v>105.49000000000001</v>
      </c>
      <c r="N349" s="243">
        <v>0.0033956044068445316</v>
      </c>
      <c r="O349" s="240">
        <v>0.0015725825703425296</v>
      </c>
      <c r="P349" s="240">
        <v>7.649971897295353E-4</v>
      </c>
      <c r="Q349" s="240">
        <v>0.0011035492602479264</v>
      </c>
      <c r="R349" s="240">
        <v>1.688136254780964E-4</v>
      </c>
    </row>
    <row r="350">
      <c r="A350" s="236">
        <v>43039.0</v>
      </c>
      <c r="B350" s="33">
        <v>8.648401409827055E-4</v>
      </c>
      <c r="C350" s="33">
        <v>0.015672346061356195</v>
      </c>
      <c r="D350" s="9">
        <v>0.0165371862023389</v>
      </c>
      <c r="E350" s="9">
        <v>0.008142080114548426</v>
      </c>
      <c r="F350" s="237">
        <v>1798.7274786105625</v>
      </c>
      <c r="G350" s="237">
        <v>3653.3528069683202</v>
      </c>
      <c r="H350" s="240">
        <v>0.004607045434626676</v>
      </c>
      <c r="I350" s="241">
        <v>4.052</v>
      </c>
      <c r="J350" s="242">
        <v>42.022</v>
      </c>
      <c r="K350" s="242">
        <v>169.13</v>
      </c>
      <c r="L350" s="242">
        <v>7.47</v>
      </c>
      <c r="M350" s="242">
        <v>104.63</v>
      </c>
      <c r="N350" s="243">
        <v>0.003489369397297831</v>
      </c>
      <c r="O350" s="240">
        <v>-0.002222252601151406</v>
      </c>
      <c r="P350" s="240">
        <v>-8.075819540761022E-4</v>
      </c>
      <c r="Q350" s="240">
        <v>-2.2490198146096242E-4</v>
      </c>
      <c r="R350" s="240">
        <v>-0.0024221973268422473</v>
      </c>
    </row>
    <row r="351">
      <c r="A351" s="236">
        <v>43038.0</v>
      </c>
      <c r="B351" s="33">
        <v>-0.007298562893377088</v>
      </c>
      <c r="C351" s="33">
        <v>0.015693668981167565</v>
      </c>
      <c r="D351" s="9">
        <v>0.008395106087790476</v>
      </c>
      <c r="E351" s="9">
        <v>-0.004996116200191594</v>
      </c>
      <c r="F351" s="237">
        <v>-1103.7291907209913</v>
      </c>
      <c r="G351" s="237">
        <v>1854.6253283577578</v>
      </c>
      <c r="H351" s="240">
        <v>0.008203434298219523</v>
      </c>
      <c r="I351" s="241">
        <v>4.037</v>
      </c>
      <c r="J351" s="242">
        <v>42.001</v>
      </c>
      <c r="K351" s="242">
        <v>169.3</v>
      </c>
      <c r="L351" s="242">
        <v>7.47</v>
      </c>
      <c r="M351" s="242">
        <v>105.43</v>
      </c>
      <c r="N351" s="243">
        <v>0.003645700521706145</v>
      </c>
      <c r="O351" s="240">
        <v>0.0027173095416545777</v>
      </c>
      <c r="P351" s="240">
        <v>0.003498996845476719</v>
      </c>
      <c r="Q351" s="240">
        <v>-2.2490198146096242E-4</v>
      </c>
      <c r="R351" s="240">
        <v>0.003289321643590097</v>
      </c>
    </row>
    <row r="352">
      <c r="A352" s="236">
        <v>43036.0</v>
      </c>
      <c r="B352" s="33">
        <v>-0.00234526707239741</v>
      </c>
      <c r="C352" s="33">
        <v>0.01573648936037948</v>
      </c>
      <c r="D352" s="9">
        <v>0.01339122228798207</v>
      </c>
      <c r="E352" s="9">
        <v>0.010675172389523199</v>
      </c>
      <c r="F352" s="237">
        <v>2358.331734126534</v>
      </c>
      <c r="G352" s="237">
        <v>2958.354519078749</v>
      </c>
      <c r="H352" s="240">
        <v>0.006709261366227</v>
      </c>
      <c r="I352" s="241">
        <v>4.037</v>
      </c>
      <c r="J352" s="242">
        <v>42.001</v>
      </c>
      <c r="K352" s="242">
        <v>169.3</v>
      </c>
      <c r="L352" s="242">
        <v>7.49</v>
      </c>
      <c r="M352" s="242">
        <v>105.43</v>
      </c>
      <c r="N352" s="243">
        <v>0.003934051156077518</v>
      </c>
      <c r="O352" s="240">
        <v>0.007094640250190004</v>
      </c>
      <c r="P352" s="240">
        <v>0.0066826963042478</v>
      </c>
      <c r="Q352" s="240">
        <v>0.006018727310884961</v>
      </c>
      <c r="R352" s="240">
        <v>0.00526907704800305</v>
      </c>
    </row>
    <row r="353">
      <c r="A353" s="236">
        <v>43035.0</v>
      </c>
      <c r="B353" s="33">
        <v>-0.013041937398205281</v>
      </c>
      <c r="C353" s="33">
        <v>0.015757987296664153</v>
      </c>
      <c r="D353" s="9">
        <v>0.0027160498984588714</v>
      </c>
      <c r="E353" s="9">
        <v>0.018931246705326966</v>
      </c>
      <c r="F353" s="237">
        <v>4182.242519621275</v>
      </c>
      <c r="G353" s="237">
        <v>600.0227849522155</v>
      </c>
      <c r="H353" s="240">
        <v>5.660812552544173E-4</v>
      </c>
      <c r="I353" s="241">
        <v>4.01</v>
      </c>
      <c r="J353" s="242">
        <v>42.302</v>
      </c>
      <c r="K353" s="242">
        <v>169.54</v>
      </c>
      <c r="L353" s="242">
        <v>7.4750000000000005</v>
      </c>
      <c r="M353" s="242">
        <v>105.39</v>
      </c>
      <c r="N353" s="243">
        <v>-5.842410092734021E-4</v>
      </c>
      <c r="O353" s="240">
        <v>0.006231795743122965</v>
      </c>
      <c r="P353" s="240">
        <v>0.005065869933328742</v>
      </c>
      <c r="Q353" s="240">
        <v>0.00512456735079619</v>
      </c>
      <c r="R353" s="240">
        <v>0.004114696532645979</v>
      </c>
    </row>
    <row r="354">
      <c r="A354" s="236">
        <v>43034.0</v>
      </c>
      <c r="B354" s="33">
        <v>-0.03199474085770005</v>
      </c>
      <c r="C354" s="33">
        <v>0.015779544050831956</v>
      </c>
      <c r="D354" s="9">
        <v>-0.016215196806868094</v>
      </c>
      <c r="E354" s="9">
        <v>-0.009478634996169164</v>
      </c>
      <c r="F354" s="237">
        <v>-2093.9957587576246</v>
      </c>
      <c r="G354" s="237">
        <v>-3582.2197346690596</v>
      </c>
      <c r="H354" s="240">
        <v>-0.006605655248363318</v>
      </c>
      <c r="I354" s="241">
        <v>3.993</v>
      </c>
      <c r="J354" s="242">
        <v>41.654</v>
      </c>
      <c r="K354" s="242">
        <v>167.52</v>
      </c>
      <c r="L354" s="242">
        <v>7.4750000000000005</v>
      </c>
      <c r="M354" s="242">
        <v>104.39</v>
      </c>
      <c r="N354" s="243">
        <v>-0.00474339943070488</v>
      </c>
      <c r="O354" s="240">
        <v>-9.499403892181196E-5</v>
      </c>
      <c r="P354" s="240">
        <v>-3.0320120454745684E-4</v>
      </c>
      <c r="Q354" s="240">
        <v>0.005351016626158504</v>
      </c>
      <c r="R354" s="240">
        <v>8.237468293793632E-4</v>
      </c>
    </row>
    <row r="355">
      <c r="A355" s="236">
        <v>43033.0</v>
      </c>
      <c r="B355" s="33">
        <v>-0.022537721675299147</v>
      </c>
      <c r="C355" s="33">
        <v>0.015801159864600216</v>
      </c>
      <c r="D355" s="9">
        <v>-0.00673656181069893</v>
      </c>
      <c r="E355" s="9">
        <v>-0.00775436794339455</v>
      </c>
      <c r="F355" s="237">
        <v>-1713.0750990914598</v>
      </c>
      <c r="G355" s="237">
        <v>-1488.223975911435</v>
      </c>
      <c r="H355" s="240">
        <v>-0.0012786073556428645</v>
      </c>
      <c r="I355" s="241">
        <v>3.99</v>
      </c>
      <c r="J355" s="242">
        <v>41.107</v>
      </c>
      <c r="K355" s="242">
        <v>165.92000000000002</v>
      </c>
      <c r="L355" s="242">
        <v>7.355</v>
      </c>
      <c r="M355" s="242">
        <v>103.77</v>
      </c>
      <c r="N355" s="243">
        <v>-0.005031750065076254</v>
      </c>
      <c r="O355" s="240">
        <v>-0.004472324747457239</v>
      </c>
      <c r="P355" s="240">
        <v>-0.003486900663318538</v>
      </c>
      <c r="Q355" s="240">
        <v>-1.5394240337342503E-7</v>
      </c>
      <c r="R355" s="240">
        <v>-0.0011560085750335898</v>
      </c>
    </row>
    <row r="356">
      <c r="A356" s="236">
        <v>43032.0</v>
      </c>
      <c r="B356" s="33">
        <v>-0.014805028848316944</v>
      </c>
      <c r="C356" s="33">
        <v>0.015822834981012564</v>
      </c>
      <c r="D356" s="9">
        <v>0.0010178061326956197</v>
      </c>
      <c r="E356" s="9">
        <v>-0.0025839628055262364</v>
      </c>
      <c r="F356" s="237">
        <v>-570.8424427933131</v>
      </c>
      <c r="G356" s="237">
        <v>224.85112318002493</v>
      </c>
      <c r="H356" s="240">
        <v>-8.138318478430814E-4</v>
      </c>
      <c r="I356" s="241">
        <v>4.017</v>
      </c>
      <c r="J356" s="242">
        <v>41.508</v>
      </c>
      <c r="K356" s="242">
        <v>166.96</v>
      </c>
      <c r="L356" s="242">
        <v>7.36</v>
      </c>
      <c r="M356" s="242">
        <v>104.09</v>
      </c>
      <c r="N356" s="243">
        <v>-9.471944879833631E-4</v>
      </c>
      <c r="O356" s="240">
        <v>4.5962061456092835E-4</v>
      </c>
      <c r="P356" s="240">
        <v>-6.547941208585814E-5</v>
      </c>
      <c r="Q356" s="240">
        <v>0.0022658782352535413</v>
      </c>
      <c r="R356" s="240">
        <v>-0.0010884323163778931</v>
      </c>
    </row>
    <row r="357">
      <c r="A357" s="236">
        <v>43031.0</v>
      </c>
      <c r="B357" s="33">
        <v>-0.012242800706226162</v>
      </c>
      <c r="C357" s="33">
        <v>0.01584456964444802</v>
      </c>
      <c r="D357" s="9">
        <v>0.003601768938221856</v>
      </c>
      <c r="E357" s="9">
        <v>0.0065025086819921925</v>
      </c>
      <c r="F357" s="237">
        <v>1436.517558369886</v>
      </c>
      <c r="G357" s="237">
        <v>795.6935659733381</v>
      </c>
      <c r="H357" s="240">
        <v>0.0018271264549170167</v>
      </c>
      <c r="I357" s="241">
        <v>4.05</v>
      </c>
      <c r="J357" s="242">
        <v>41.660000000000004</v>
      </c>
      <c r="K357" s="242">
        <v>167.66</v>
      </c>
      <c r="L357" s="242">
        <v>7.355</v>
      </c>
      <c r="M357" s="242">
        <v>104.13</v>
      </c>
      <c r="N357" s="243">
        <v>-0.0035837719025553286</v>
      </c>
      <c r="O357" s="240">
        <v>0.005186501251539215</v>
      </c>
      <c r="P357" s="240">
        <v>0.0014717898428188141</v>
      </c>
      <c r="Q357" s="240">
        <v>0.002039428959891227</v>
      </c>
      <c r="R357" s="240">
        <v>-0.0010560959629579729</v>
      </c>
    </row>
    <row r="358">
      <c r="A358" s="236">
        <v>43029.0</v>
      </c>
      <c r="B358" s="33">
        <v>-0.01878895834040692</v>
      </c>
      <c r="C358" s="33">
        <v>0.015888218596636583</v>
      </c>
      <c r="D358" s="9">
        <v>-0.0029007397437703364</v>
      </c>
      <c r="E358" s="9">
        <v>-0.0063600414199952</v>
      </c>
      <c r="F358" s="237">
        <v>-1405.044055855644</v>
      </c>
      <c r="G358" s="237">
        <v>-640.8239923965481</v>
      </c>
      <c r="H358" s="240">
        <v>-0.005649032085900687</v>
      </c>
      <c r="I358" s="241">
        <v>4.05</v>
      </c>
      <c r="J358" s="242">
        <v>41.660000000000004</v>
      </c>
      <c r="K358" s="242">
        <v>167.66</v>
      </c>
      <c r="L358" s="242">
        <v>7.355</v>
      </c>
      <c r="M358" s="242">
        <v>104.13</v>
      </c>
      <c r="N358" s="243">
        <v>-0.001474067261205098</v>
      </c>
      <c r="O358" s="240">
        <v>0.0024313444758041116</v>
      </c>
      <c r="P358" s="240">
        <v>1.1385390544366766E-4</v>
      </c>
      <c r="Q358" s="240">
        <v>0.0029514216639496154</v>
      </c>
      <c r="R358" s="240">
        <v>-9.60365539829499E-4</v>
      </c>
    </row>
    <row r="359">
      <c r="A359" s="236">
        <v>43028.0</v>
      </c>
      <c r="B359" s="33">
        <v>-0.012450831704682938</v>
      </c>
      <c r="C359" s="33">
        <v>0.015910133380907802</v>
      </c>
      <c r="D359" s="9">
        <v>0.003459301676224864</v>
      </c>
      <c r="E359" s="9">
        <v>0.005338912102754058</v>
      </c>
      <c r="F359" s="237">
        <v>1179.458783259938</v>
      </c>
      <c r="G359" s="237">
        <v>764.220063459096</v>
      </c>
      <c r="H359" s="240">
        <v>-0.002429569028361181</v>
      </c>
      <c r="I359" s="241">
        <v>4.028</v>
      </c>
      <c r="J359" s="242">
        <v>41.45</v>
      </c>
      <c r="K359" s="242">
        <v>166.99</v>
      </c>
      <c r="L359" s="242">
        <v>7.3100000000000005</v>
      </c>
      <c r="M359" s="242">
        <v>104.43</v>
      </c>
      <c r="N359" s="243">
        <v>-0.005940512710633799</v>
      </c>
      <c r="O359" s="240">
        <v>0.0010815635457983868</v>
      </c>
      <c r="P359" s="240">
        <v>-0.002510967552461951</v>
      </c>
      <c r="Q359" s="240">
        <v>-0.0016028678354934958</v>
      </c>
      <c r="R359" s="240">
        <v>-0.0013725577443840346</v>
      </c>
    </row>
    <row r="360">
      <c r="A360" s="236">
        <v>43027.0</v>
      </c>
      <c r="B360" s="33">
        <v>-0.01781171912978632</v>
      </c>
      <c r="C360" s="33">
        <v>0.015932108703257127</v>
      </c>
      <c r="D360" s="9">
        <v>-0.0018796104265291942</v>
      </c>
      <c r="E360" s="9">
        <v>-0.015925966940460917</v>
      </c>
      <c r="F360" s="237">
        <v>-3518.3238135994716</v>
      </c>
      <c r="G360" s="237">
        <v>-415.238719800842</v>
      </c>
      <c r="H360" s="240">
        <v>-0.003398149031516241</v>
      </c>
      <c r="I360" s="241">
        <v>4.093</v>
      </c>
      <c r="J360" s="242">
        <v>41.014</v>
      </c>
      <c r="K360" s="242">
        <v>166.92000000000002</v>
      </c>
      <c r="L360" s="242">
        <v>7.3100000000000005</v>
      </c>
      <c r="M360" s="242">
        <v>104.46000000000001</v>
      </c>
      <c r="N360" s="243">
        <v>-1.729895208407565E-5</v>
      </c>
      <c r="O360" s="240">
        <v>-8.91619546950073E-4</v>
      </c>
      <c r="P360" s="240">
        <v>-0.0013629302574442751</v>
      </c>
      <c r="Q360" s="240">
        <v>-0.002283603029503052</v>
      </c>
      <c r="R360" s="240">
        <v>-0.00486889086244014</v>
      </c>
    </row>
    <row r="361">
      <c r="A361" s="236">
        <v>43026.0</v>
      </c>
      <c r="B361" s="33">
        <v>-0.0019077883009481547</v>
      </c>
      <c r="C361" s="33">
        <v>0.01595414481487988</v>
      </c>
      <c r="D361" s="9">
        <v>0.014046356513931725</v>
      </c>
      <c r="E361" s="9">
        <v>0.003298347752623316</v>
      </c>
      <c r="F361" s="237">
        <v>728.6625350266522</v>
      </c>
      <c r="G361" s="237">
        <v>3103.0850937986297</v>
      </c>
      <c r="H361" s="240">
        <v>0.003263315123340682</v>
      </c>
      <c r="I361" s="241">
        <v>4.068</v>
      </c>
      <c r="J361" s="242">
        <v>41.353</v>
      </c>
      <c r="K361" s="242">
        <v>167.6</v>
      </c>
      <c r="L361" s="242">
        <v>7.29</v>
      </c>
      <c r="M361" s="242">
        <v>104.43</v>
      </c>
      <c r="N361" s="243">
        <v>-0.002127003593434306</v>
      </c>
      <c r="O361" s="240">
        <v>0.0018635372287850304</v>
      </c>
      <c r="P361" s="240">
        <v>-4.994320069128527E-6</v>
      </c>
      <c r="Q361" s="240">
        <v>-0.003195595733561441</v>
      </c>
      <c r="R361" s="240">
        <v>-0.004964621285568614</v>
      </c>
    </row>
    <row r="362">
      <c r="A362" s="236">
        <v>43025.0</v>
      </c>
      <c r="B362" s="33">
        <v>-0.005228233207054694</v>
      </c>
      <c r="C362" s="33">
        <v>0.015976241968363104</v>
      </c>
      <c r="D362" s="9">
        <v>0.010748008761308409</v>
      </c>
      <c r="E362" s="9">
        <v>0.0024331720932888774</v>
      </c>
      <c r="F362" s="237">
        <v>537.5301449769415</v>
      </c>
      <c r="G362" s="237">
        <v>2374.4225587719775</v>
      </c>
      <c r="H362" s="240">
        <v>0.005068268488359781</v>
      </c>
      <c r="I362" s="241">
        <v>4.1</v>
      </c>
      <c r="J362" s="242">
        <v>41.312</v>
      </c>
      <c r="K362" s="242">
        <v>168.25</v>
      </c>
      <c r="L362" s="242">
        <v>7.345</v>
      </c>
      <c r="M362" s="242">
        <v>104.86</v>
      </c>
      <c r="N362" s="243">
        <v>0.0014760673481838316</v>
      </c>
      <c r="O362" s="240">
        <v>0.0024571288838902347</v>
      </c>
      <c r="P362" s="240">
        <v>0.0017054273187534358</v>
      </c>
      <c r="Q362" s="240">
        <v>0.0018102068349759783</v>
      </c>
      <c r="R362" s="240">
        <v>-0.0020196156512641826</v>
      </c>
    </row>
    <row r="363">
      <c r="A363" s="236">
        <v>43024.0</v>
      </c>
      <c r="B363" s="33">
        <v>-0.007683563749675549</v>
      </c>
      <c r="C363" s="33">
        <v>0.01599840041769508</v>
      </c>
      <c r="D363" s="9">
        <v>0.008314836668019531</v>
      </c>
      <c r="E363" s="9">
        <v>0.004058425524109852</v>
      </c>
      <c r="F363" s="237">
        <v>896.576968957488</v>
      </c>
      <c r="G363" s="237">
        <v>1836.892413795036</v>
      </c>
      <c r="H363" s="240">
        <v>0.006180625252521852</v>
      </c>
      <c r="I363" s="241">
        <v>4.093</v>
      </c>
      <c r="J363" s="242">
        <v>41.122</v>
      </c>
      <c r="K363" s="242">
        <v>167.6</v>
      </c>
      <c r="L363" s="242">
        <v>7.36</v>
      </c>
      <c r="M363" s="242">
        <v>105.99000000000001</v>
      </c>
      <c r="N363" s="243">
        <v>0.00380580122647976</v>
      </c>
      <c r="O363" s="240">
        <v>0.001232962387726833</v>
      </c>
      <c r="P363" s="240">
        <v>0.001851438503909695</v>
      </c>
      <c r="Q363" s="240">
        <v>0.0024909420289855344</v>
      </c>
      <c r="R363" s="240">
        <v>0.003752776841134615</v>
      </c>
    </row>
    <row r="364">
      <c r="A364" s="236">
        <v>43022.0</v>
      </c>
      <c r="B364" s="33">
        <v>-0.011786491083014048</v>
      </c>
      <c r="C364" s="33">
        <v>0.016042902226923728</v>
      </c>
      <c r="D364" s="9">
        <v>0.004256411143909679</v>
      </c>
      <c r="E364" s="9">
        <v>0.008713207847680616</v>
      </c>
      <c r="F364" s="237">
        <v>1924.8995541647962</v>
      </c>
      <c r="G364" s="237">
        <v>940.315444837548</v>
      </c>
      <c r="H364" s="240">
        <v>0.003917449542810308</v>
      </c>
      <c r="I364" s="241">
        <v>4.093</v>
      </c>
      <c r="J364" s="242">
        <v>41.122</v>
      </c>
      <c r="K364" s="242">
        <v>167.6</v>
      </c>
      <c r="L364" s="242">
        <v>7.36</v>
      </c>
      <c r="M364" s="242">
        <v>105.99000000000001</v>
      </c>
      <c r="N364" s="243">
        <v>0.003450131856725892</v>
      </c>
      <c r="O364" s="240">
        <v>0.0016397641125661232</v>
      </c>
      <c r="P364" s="240">
        <v>0.002051434503989739</v>
      </c>
      <c r="Q364" s="240">
        <v>0.006141409745161632</v>
      </c>
      <c r="R364" s="240">
        <v>0.004961428240625694</v>
      </c>
    </row>
    <row r="365">
      <c r="A365" s="236">
        <v>43021.0</v>
      </c>
      <c r="B365" s="33">
        <v>-0.020522042805662517</v>
      </c>
      <c r="C365" s="33">
        <v>0.01606524610189158</v>
      </c>
      <c r="D365" s="9">
        <v>-0.004456796703770936</v>
      </c>
      <c r="E365" s="9">
        <v>0.005770242385775087</v>
      </c>
      <c r="F365" s="237">
        <v>1274.7471643015956</v>
      </c>
      <c r="G365" s="237">
        <v>-984.5841093272483</v>
      </c>
      <c r="H365" s="240">
        <v>0.0017793494848138216</v>
      </c>
      <c r="I365" s="241">
        <v>4.081</v>
      </c>
      <c r="J365" s="242">
        <v>41.008</v>
      </c>
      <c r="K365" s="242">
        <v>167.39000000000001</v>
      </c>
      <c r="L365" s="242">
        <v>7.305</v>
      </c>
      <c r="M365" s="242">
        <v>105.49000000000001</v>
      </c>
      <c r="N365" s="243">
        <v>0.001683964425360526</v>
      </c>
      <c r="O365" s="240">
        <v>-9.307309572346411E-6</v>
      </c>
      <c r="P365" s="240">
        <v>4.330770022234353E-4</v>
      </c>
      <c r="Q365" s="240">
        <v>0.003650467716176098</v>
      </c>
      <c r="R365" s="240">
        <v>0.0014416885965296753</v>
      </c>
    </row>
    <row r="366">
      <c r="A366" s="236">
        <v>43020.0</v>
      </c>
      <c r="B366" s="33">
        <v>-0.026314691392416538</v>
      </c>
      <c r="C366" s="33">
        <v>0.016087652302870514</v>
      </c>
      <c r="D366" s="9">
        <v>-0.010227039089546024</v>
      </c>
      <c r="E366" s="9">
        <v>-0.00273110160502478</v>
      </c>
      <c r="F366" s="237">
        <v>-603.3479694037544</v>
      </c>
      <c r="G366" s="237">
        <v>-2259.331273628844</v>
      </c>
      <c r="H366" s="240">
        <v>-0.0016226095437329331</v>
      </c>
      <c r="I366" s="241">
        <v>4.047</v>
      </c>
      <c r="J366" s="242">
        <v>40.97</v>
      </c>
      <c r="K366" s="242">
        <v>166.67000000000002</v>
      </c>
      <c r="L366" s="242">
        <v>7.305</v>
      </c>
      <c r="M366" s="242">
        <v>104.8</v>
      </c>
      <c r="N366" s="243">
        <v>9.894466040332476E-4</v>
      </c>
      <c r="O366" s="240">
        <v>-0.002179570151456338</v>
      </c>
      <c r="P366" s="240">
        <v>-0.0022569066609378105</v>
      </c>
      <c r="Q366" s="240">
        <v>0.0034197872086789865</v>
      </c>
      <c r="R366" s="240">
        <v>-1.0387357300440187E-4</v>
      </c>
    </row>
    <row r="367">
      <c r="A367" s="236">
        <v>43019.0</v>
      </c>
      <c r="B367" s="33">
        <v>-0.02360605857552426</v>
      </c>
      <c r="C367" s="33">
        <v>0.016110121091003016</v>
      </c>
      <c r="D367" s="9">
        <v>-0.007495937484521244</v>
      </c>
      <c r="E367" s="9">
        <v>0.0022989076736911578</v>
      </c>
      <c r="F367" s="237">
        <v>507.868793389576</v>
      </c>
      <c r="G367" s="237">
        <v>-1655.9833042250896</v>
      </c>
      <c r="H367" s="240">
        <v>-0.0010544411783014</v>
      </c>
      <c r="I367" s="241">
        <v>4.051</v>
      </c>
      <c r="J367" s="242">
        <v>40.92</v>
      </c>
      <c r="K367" s="242">
        <v>166.57</v>
      </c>
      <c r="L367" s="242">
        <v>7.2250000000000005</v>
      </c>
      <c r="M367" s="242">
        <v>104.42</v>
      </c>
      <c r="N367" s="243">
        <v>0.0013451159737871154</v>
      </c>
      <c r="O367" s="240">
        <v>-0.002586371876295628</v>
      </c>
      <c r="P367" s="240">
        <v>-0.002456902661017854</v>
      </c>
      <c r="Q367" s="240">
        <v>-2.3068050749711156E-4</v>
      </c>
      <c r="R367" s="240">
        <v>-0.0013125249724954815</v>
      </c>
    </row>
    <row r="368">
      <c r="A368" s="236">
        <v>43018.0</v>
      </c>
      <c r="B368" s="33">
        <v>-0.025927497887104932</v>
      </c>
      <c r="C368" s="33">
        <v>0.01613265272889253</v>
      </c>
      <c r="D368" s="9">
        <v>-0.009794845158212401</v>
      </c>
      <c r="E368" s="9">
        <v>-0.004435634699865177</v>
      </c>
      <c r="F368" s="237">
        <v>-979.9090536421859</v>
      </c>
      <c r="G368" s="237">
        <v>-2163.8520976146656</v>
      </c>
      <c r="H368" s="240">
        <v>-0.003511253277965255</v>
      </c>
      <c r="I368" s="241">
        <v>4.061</v>
      </c>
      <c r="J368" s="242">
        <v>41.009</v>
      </c>
      <c r="K368" s="242">
        <v>167.17000000000002</v>
      </c>
      <c r="L368" s="242">
        <v>7.2250000000000005</v>
      </c>
      <c r="M368" s="242">
        <v>105.03</v>
      </c>
      <c r="N368" s="243">
        <v>0.002198101604485834</v>
      </c>
      <c r="O368" s="240">
        <v>-0.0019583779368163683</v>
      </c>
      <c r="P368" s="240">
        <v>-0.0016336397096263784</v>
      </c>
      <c r="Q368" s="240">
        <v>-2.3068050749711156E-4</v>
      </c>
      <c r="R368" s="240">
        <v>0.0023836025197351133</v>
      </c>
    </row>
    <row r="369">
      <c r="A369" s="236">
        <v>43017.0</v>
      </c>
      <c r="B369" s="33">
        <v>-0.021514457938960892</v>
      </c>
      <c r="C369" s="33">
        <v>0.016155247480613668</v>
      </c>
      <c r="D369" s="9">
        <v>-0.005359210458347224</v>
      </c>
      <c r="E369" s="9">
        <v>-0.0010265965087301807</v>
      </c>
      <c r="F369" s="237">
        <v>-226.79307053232776</v>
      </c>
      <c r="G369" s="237">
        <v>-1183.9430439724797</v>
      </c>
      <c r="H369" s="240">
        <v>-4.1217644604555834E-4</v>
      </c>
      <c r="I369" s="241">
        <v>4.035</v>
      </c>
      <c r="J369" s="242">
        <v>41.238</v>
      </c>
      <c r="K369" s="242">
        <v>167.8</v>
      </c>
      <c r="L369" s="242">
        <v>7.23</v>
      </c>
      <c r="M369" s="242">
        <v>104.83</v>
      </c>
      <c r="N369" s="243">
        <v>2.1407164482292325E-4</v>
      </c>
      <c r="O369" s="240">
        <v>-4.6063427818121837E-4</v>
      </c>
      <c r="P369" s="240">
        <v>-9.925494316485861E-4</v>
      </c>
      <c r="Q369" s="240">
        <v>-0.0036883356385431104</v>
      </c>
      <c r="R369" s="240">
        <v>0.0012374196894764874</v>
      </c>
    </row>
    <row r="370">
      <c r="A370" s="236">
        <v>43015.0</v>
      </c>
      <c r="B370" s="33">
        <v>-0.02053648527057516</v>
      </c>
      <c r="C370" s="33">
        <v>0.016203871320958116</v>
      </c>
      <c r="D370" s="9">
        <v>-0.004332613949617044</v>
      </c>
      <c r="E370" s="9">
        <v>-0.005071528625300407</v>
      </c>
      <c r="F370" s="237">
        <v>-1120.3891104667462</v>
      </c>
      <c r="G370" s="237">
        <v>-957.1499734401519</v>
      </c>
      <c r="H370" s="240">
        <v>6.573343721641539E-4</v>
      </c>
      <c r="I370" s="241">
        <v>4.035</v>
      </c>
      <c r="J370" s="242">
        <v>41.238</v>
      </c>
      <c r="K370" s="242">
        <v>167.8</v>
      </c>
      <c r="L370" s="242">
        <v>7.23</v>
      </c>
      <c r="M370" s="242">
        <v>104.83</v>
      </c>
      <c r="N370" s="243">
        <v>-4.998571050878177E-4</v>
      </c>
      <c r="O370" s="240">
        <v>0.00216276645637101</v>
      </c>
      <c r="P370" s="240">
        <v>1.363869914055266E-4</v>
      </c>
      <c r="Q370" s="240">
        <v>-0.0036883356385431104</v>
      </c>
      <c r="R370" s="240">
        <v>0.002545986011447624</v>
      </c>
    </row>
    <row r="371">
      <c r="A371" s="236">
        <v>43014.0</v>
      </c>
      <c r="B371" s="33">
        <v>-0.015487746900297195</v>
      </c>
      <c r="C371" s="33">
        <v>0.016226661575980558</v>
      </c>
      <c r="D371" s="9">
        <v>7.389146756833637E-4</v>
      </c>
      <c r="E371" s="9">
        <v>0.004861595795893913</v>
      </c>
      <c r="F371" s="237">
        <v>1074.0112876495523</v>
      </c>
      <c r="G371" s="237">
        <v>163.2391370265942</v>
      </c>
      <c r="H371" s="240">
        <v>0.0029394316203448377</v>
      </c>
      <c r="I371" s="241">
        <v>4.034</v>
      </c>
      <c r="J371" s="242">
        <v>41.25</v>
      </c>
      <c r="K371" s="242">
        <v>167.99</v>
      </c>
      <c r="L371" s="242">
        <v>7.23</v>
      </c>
      <c r="M371" s="242">
        <v>104.28</v>
      </c>
      <c r="N371" s="243">
        <v>-8.561653110913162E-4</v>
      </c>
      <c r="O371" s="240">
        <v>0.0031140479930783834</v>
      </c>
      <c r="P371" s="240">
        <v>4.7407402607425544E-4</v>
      </c>
      <c r="Q371" s="240">
        <v>0.001555622409792512</v>
      </c>
      <c r="R371" s="240">
        <v>0.0010534590857958841</v>
      </c>
    </row>
    <row r="372">
      <c r="A372" s="236">
        <v>43013.0</v>
      </c>
      <c r="B372" s="33">
        <v>-0.020387258031603205</v>
      </c>
      <c r="C372" s="33">
        <v>0.016264576911392655</v>
      </c>
      <c r="D372" s="9">
        <v>-0.004122681120210549</v>
      </c>
      <c r="E372" s="9">
        <v>0.002181935945898956</v>
      </c>
      <c r="F372" s="237">
        <v>482.02769897140126</v>
      </c>
      <c r="G372" s="237">
        <v>-910.7721506229581</v>
      </c>
      <c r="H372" s="240">
        <v>0.0012351732479594548</v>
      </c>
      <c r="I372" s="241">
        <v>4.032</v>
      </c>
      <c r="J372" s="242">
        <v>41.295</v>
      </c>
      <c r="K372" s="242">
        <v>168.3</v>
      </c>
      <c r="L372" s="242">
        <v>7.3100000000000005</v>
      </c>
      <c r="M372" s="242">
        <v>104.44</v>
      </c>
      <c r="N372" s="243">
        <v>-0.0017818638010950322</v>
      </c>
      <c r="O372" s="240">
        <v>0.0036163523284917748</v>
      </c>
      <c r="P372" s="240">
        <v>5.924190166257344E-4</v>
      </c>
      <c r="Q372" s="240">
        <v>0.005243958048335623</v>
      </c>
      <c r="R372" s="240">
        <v>8.273685643466895E-4</v>
      </c>
    </row>
    <row r="373">
      <c r="A373" s="236">
        <v>43012.0</v>
      </c>
      <c r="B373" s="33">
        <v>-0.021253175269232562</v>
      </c>
      <c r="C373" s="33">
        <v>0.014948558203123057</v>
      </c>
      <c r="D373" s="9">
        <v>-0.006304617066109505</v>
      </c>
      <c r="E373" s="9">
        <v>0.0017747631192416447</v>
      </c>
      <c r="F373" s="237">
        <v>392.07612129736367</v>
      </c>
      <c r="G373" s="237">
        <v>-1392.7998495943593</v>
      </c>
      <c r="H373" s="240">
        <v>0.003645882460513243</v>
      </c>
      <c r="I373" s="241">
        <v>4.041</v>
      </c>
      <c r="J373" s="242">
        <v>40.97</v>
      </c>
      <c r="K373" s="242">
        <v>167.73</v>
      </c>
      <c r="L373" s="242">
        <v>7.3100000000000005</v>
      </c>
      <c r="M373" s="242">
        <v>104.03</v>
      </c>
      <c r="N373" s="243">
        <v>-0.001067935051184291</v>
      </c>
      <c r="O373" s="240">
        <v>9.929515939395464E-4</v>
      </c>
      <c r="P373" s="240">
        <v>-5.365174064283785E-4</v>
      </c>
      <c r="Q373" s="240">
        <v>0.005475600392556141</v>
      </c>
      <c r="R373" s="240">
        <v>-4.811977576244476E-4</v>
      </c>
    </row>
    <row r="374">
      <c r="A374" s="236">
        <v>43011.0</v>
      </c>
      <c r="B374" s="33">
        <v>-0.02008004257806596</v>
      </c>
      <c r="C374" s="33">
        <v>0.012000662392714809</v>
      </c>
      <c r="D374" s="9">
        <v>-0.00807938018535115</v>
      </c>
      <c r="E374" s="9">
        <v>-2.5117932126223624E-4</v>
      </c>
      <c r="F374" s="237">
        <v>-55.48989212300239</v>
      </c>
      <c r="G374" s="237">
        <v>-1784.875970891723</v>
      </c>
      <c r="H374" s="240">
        <v>0.003080097825359497</v>
      </c>
      <c r="I374" s="241">
        <v>4.044</v>
      </c>
      <c r="J374" s="242">
        <v>40.865</v>
      </c>
      <c r="K374" s="242">
        <v>167.75</v>
      </c>
      <c r="L374" s="242">
        <v>7.195</v>
      </c>
      <c r="M374" s="242">
        <v>103.95</v>
      </c>
      <c r="N374" s="243">
        <v>-8.539865173942531E-4</v>
      </c>
      <c r="O374" s="240">
        <v>0.003614970361122839</v>
      </c>
      <c r="P374" s="240">
        <v>0.0013286258368225333</v>
      </c>
      <c r="Q374" s="240">
        <v>-0.0011591782399240972</v>
      </c>
      <c r="R374" s="240">
        <v>-0.0012814644477791776</v>
      </c>
    </row>
    <row r="375">
      <c r="A375" s="236">
        <v>43010.0</v>
      </c>
      <c r="B375" s="33">
        <v>-0.019845837319593985</v>
      </c>
      <c r="C375" s="33">
        <v>0.012017636455505071</v>
      </c>
      <c r="D375" s="9">
        <v>-0.007828200864088914</v>
      </c>
      <c r="E375" s="9">
        <v>0.00941406358356032</v>
      </c>
      <c r="F375" s="237">
        <v>2079.730807718308</v>
      </c>
      <c r="G375" s="237">
        <v>-1729.3860787687206</v>
      </c>
      <c r="H375" s="240">
        <v>0.0014146183983655622</v>
      </c>
      <c r="I375" s="241">
        <v>4.054</v>
      </c>
      <c r="J375" s="242">
        <v>40.848</v>
      </c>
      <c r="K375" s="242">
        <v>168.0</v>
      </c>
      <c r="L375" s="242">
        <v>7.195</v>
      </c>
      <c r="M375" s="242">
        <v>104.18</v>
      </c>
      <c r="N375" s="243">
        <v>0.001490932691663396</v>
      </c>
      <c r="O375" s="240">
        <v>0.0036989534209622803</v>
      </c>
      <c r="P375" s="240">
        <v>0.0012069306215822563</v>
      </c>
      <c r="Q375" s="240">
        <v>-0.0027750600497117306</v>
      </c>
      <c r="R375" s="240">
        <v>-0.0015661313032813283</v>
      </c>
    </row>
    <row r="376">
      <c r="A376" s="236">
        <v>43009.0</v>
      </c>
      <c r="B376" s="33">
        <v>-0.028790078891838003</v>
      </c>
      <c r="C376" s="33">
        <v>0.011547814444188769</v>
      </c>
      <c r="D376" s="9">
        <v>-0.017242264447649234</v>
      </c>
      <c r="E376" s="9">
        <v>7.740921378040708E-5</v>
      </c>
      <c r="F376" s="237">
        <v>17.101045183240785</v>
      </c>
      <c r="G376" s="237">
        <v>-3809.1168864870283</v>
      </c>
      <c r="H376" s="240">
        <v>-0.007938240231259585</v>
      </c>
      <c r="I376" s="241">
        <v>4.054</v>
      </c>
      <c r="J376" s="242">
        <v>40.848</v>
      </c>
      <c r="K376" s="242">
        <v>168.0</v>
      </c>
      <c r="L376" s="242">
        <v>7.19</v>
      </c>
      <c r="M376" s="242">
        <v>104.18</v>
      </c>
      <c r="N376" s="243">
        <v>-7.203519934068252E-4</v>
      </c>
      <c r="O376" s="240">
        <v>0.0037154571136635423</v>
      </c>
      <c r="P376" s="240">
        <v>-6.052047110740085E-4</v>
      </c>
      <c r="Q376" s="240">
        <v>-0.0030067023939322492</v>
      </c>
      <c r="R376" s="240">
        <v>-0.0031265911612476187</v>
      </c>
    </row>
    <row r="377">
      <c r="A377" s="236">
        <v>43007.0</v>
      </c>
      <c r="B377" s="33">
        <v>-0.028900294396653037</v>
      </c>
      <c r="C377" s="33">
        <v>0.011580620735223394</v>
      </c>
      <c r="D377" s="9">
        <v>-0.01731967366142964</v>
      </c>
      <c r="E377" s="9">
        <v>-0.005247617602244041</v>
      </c>
      <c r="F377" s="237">
        <v>-1159.2902361069846</v>
      </c>
      <c r="G377" s="237">
        <v>-3826.217931670269</v>
      </c>
      <c r="H377" s="240">
        <v>-0.0064495122965126895</v>
      </c>
      <c r="I377" s="241">
        <v>4.055</v>
      </c>
      <c r="J377" s="242">
        <v>40.422000000000004</v>
      </c>
      <c r="K377" s="242">
        <v>167.08</v>
      </c>
      <c r="L377" s="242">
        <v>7.22</v>
      </c>
      <c r="M377" s="242">
        <v>104.35000000000001</v>
      </c>
      <c r="N377" s="243">
        <v>-0.004830178355424449</v>
      </c>
      <c r="O377" s="240">
        <v>0.0010396234523976757</v>
      </c>
      <c r="P377" s="240">
        <v>-0.00314361401418914</v>
      </c>
      <c r="Q377" s="240">
        <v>-0.00276451493636702</v>
      </c>
      <c r="R377" s="240">
        <v>-0.005657340637258385</v>
      </c>
    </row>
    <row r="378">
      <c r="A378" s="236">
        <v>43006.0</v>
      </c>
      <c r="B378" s="33">
        <v>-0.02366914993912482</v>
      </c>
      <c r="C378" s="33">
        <v>0.01159709387993922</v>
      </c>
      <c r="D378" s="9">
        <v>-0.0120720560591856</v>
      </c>
      <c r="E378" s="9">
        <v>-0.018644512305315122</v>
      </c>
      <c r="F378" s="237">
        <v>-4118.897890594271</v>
      </c>
      <c r="G378" s="237">
        <v>-2666.9276955632845</v>
      </c>
      <c r="H378" s="240">
        <v>3.809311416321191E-5</v>
      </c>
      <c r="I378" s="241">
        <v>4.036</v>
      </c>
      <c r="J378" s="242">
        <v>40.395</v>
      </c>
      <c r="K378" s="242">
        <v>167.39000000000001</v>
      </c>
      <c r="L378" s="242">
        <v>7.255</v>
      </c>
      <c r="M378" s="242">
        <v>104.67</v>
      </c>
      <c r="N378" s="243">
        <v>-0.0073019144354657005</v>
      </c>
      <c r="O378" s="240">
        <v>0.0038280239726308438</v>
      </c>
      <c r="P378" s="240">
        <v>-4.4996697318738874E-4</v>
      </c>
      <c r="Q378" s="240">
        <v>-0.001148633126579387</v>
      </c>
      <c r="R378" s="240">
        <v>-0.0029391065440180237</v>
      </c>
    </row>
    <row r="379">
      <c r="A379" s="236">
        <v>43005.0</v>
      </c>
      <c r="B379" s="33">
        <v>-0.005041157710561744</v>
      </c>
      <c r="C379" s="33">
        <v>0.011613613956691266</v>
      </c>
      <c r="D379" s="9">
        <v>0.006572456246129522</v>
      </c>
      <c r="E379" s="9">
        <v>0.004543593018021097</v>
      </c>
      <c r="F379" s="237">
        <v>1003.7589286961855</v>
      </c>
      <c r="G379" s="237">
        <v>1451.9701950309868</v>
      </c>
      <c r="H379" s="240">
        <v>0.008744812598571261</v>
      </c>
      <c r="I379" s="241">
        <v>4.062</v>
      </c>
      <c r="J379" s="242">
        <v>40.393</v>
      </c>
      <c r="K379" s="242">
        <v>168.3</v>
      </c>
      <c r="L379" s="242">
        <v>7.255</v>
      </c>
      <c r="M379" s="242">
        <v>105.16</v>
      </c>
      <c r="N379" s="243">
        <v>-0.00509062975039548</v>
      </c>
      <c r="O379" s="240">
        <v>0.003811520279929582</v>
      </c>
      <c r="P379" s="240">
        <v>0.0013621683594688763</v>
      </c>
      <c r="Q379" s="240">
        <v>6.828687049224461E-4</v>
      </c>
      <c r="R379" s="240">
        <v>-0.0013786466860517335</v>
      </c>
    </row>
    <row r="380">
      <c r="A380" s="236">
        <v>43004.0</v>
      </c>
      <c r="B380" s="33">
        <v>-0.009601317938221488</v>
      </c>
      <c r="C380" s="33">
        <v>0.011630181166329913</v>
      </c>
      <c r="D380" s="9">
        <v>0.002028863228108425</v>
      </c>
      <c r="E380" s="9">
        <v>0.014215198629783661</v>
      </c>
      <c r="F380" s="237">
        <v>3140.3852614532034</v>
      </c>
      <c r="G380" s="237">
        <v>448.2112663348013</v>
      </c>
      <c r="H380" s="240">
        <v>0.009372354764723596</v>
      </c>
      <c r="I380" s="241">
        <v>4.113</v>
      </c>
      <c r="J380" s="242">
        <v>40.296</v>
      </c>
      <c r="K380" s="242">
        <v>168.66</v>
      </c>
      <c r="L380" s="242">
        <v>7.28</v>
      </c>
      <c r="M380" s="242">
        <v>106.13</v>
      </c>
      <c r="N380" s="243">
        <v>2.0690383590337506E-4</v>
      </c>
      <c r="O380" s="240">
        <v>0.005431833547909584</v>
      </c>
      <c r="P380" s="240">
        <v>0.006072555695489256</v>
      </c>
      <c r="Q380" s="240">
        <v>0.001831501831501833</v>
      </c>
      <c r="R380" s="240">
        <v>0.007125840282443602</v>
      </c>
    </row>
    <row r="381">
      <c r="A381" s="236">
        <v>43003.0</v>
      </c>
      <c r="B381" s="33">
        <v>-0.02383313111252848</v>
      </c>
      <c r="C381" s="33">
        <v>0.011646795710853244</v>
      </c>
      <c r="D381" s="9">
        <v>-0.012186335401675236</v>
      </c>
      <c r="E381" s="9">
        <v>0.007475646147909026</v>
      </c>
      <c r="F381" s="237">
        <v>1651.5005941278364</v>
      </c>
      <c r="G381" s="237">
        <v>-2692.173995118402</v>
      </c>
      <c r="H381" s="240">
        <v>0.0015338207171883965</v>
      </c>
      <c r="I381" s="241">
        <v>4.125</v>
      </c>
      <c r="J381" s="242">
        <v>39.932</v>
      </c>
      <c r="K381" s="242">
        <v>167.61</v>
      </c>
      <c r="L381" s="242">
        <v>7.28</v>
      </c>
      <c r="M381" s="242">
        <v>105.59</v>
      </c>
      <c r="N381" s="243">
        <v>0.0020970867408939605</v>
      </c>
      <c r="O381" s="240">
        <v>7.390639529071125E-4</v>
      </c>
      <c r="P381" s="240">
        <v>0.0030714489323761065</v>
      </c>
      <c r="Q381" s="240">
        <v>0.005744945662072734</v>
      </c>
      <c r="R381" s="240">
        <v>0.005076801756309629</v>
      </c>
    </row>
    <row r="382">
      <c r="A382" s="236">
        <v>43001.0</v>
      </c>
      <c r="B382" s="33">
        <v>-0.031342149167918464</v>
      </c>
      <c r="C382" s="33">
        <v>0.011680167618334202</v>
      </c>
      <c r="D382" s="9">
        <v>-0.019661981549584262</v>
      </c>
      <c r="E382" s="9">
        <v>0.0064262195164781</v>
      </c>
      <c r="F382" s="237">
        <v>1419.6639513800365</v>
      </c>
      <c r="G382" s="237">
        <v>-4343.674589246239</v>
      </c>
      <c r="H382" s="240">
        <v>0.00130908785419231</v>
      </c>
      <c r="I382" s="241">
        <v>4.125</v>
      </c>
      <c r="J382" s="242">
        <v>39.932</v>
      </c>
      <c r="K382" s="242">
        <v>167.61</v>
      </c>
      <c r="L382" s="242">
        <v>7.24</v>
      </c>
      <c r="M382" s="242">
        <v>105.59</v>
      </c>
      <c r="N382" s="243">
        <v>0.002518494241947483</v>
      </c>
      <c r="O382" s="240">
        <v>7.474303334435452E-4</v>
      </c>
      <c r="P382" s="240">
        <v>0.00427583288998178</v>
      </c>
      <c r="Q382" s="240">
        <v>0.002515819791437416</v>
      </c>
      <c r="R382" s="240">
        <v>0.0017428272740374236</v>
      </c>
    </row>
    <row r="383">
      <c r="A383" s="236">
        <v>43000.0</v>
      </c>
      <c r="B383" s="33">
        <v>-0.03778512645716318</v>
      </c>
      <c r="C383" s="33">
        <v>0.011696925391100817</v>
      </c>
      <c r="D383" s="9">
        <v>-0.026088201066062362</v>
      </c>
      <c r="E383" s="9">
        <v>-0.009300403512821936</v>
      </c>
      <c r="F383" s="237">
        <v>-2054.621316091881</v>
      </c>
      <c r="G383" s="237">
        <v>-5763.338540626275</v>
      </c>
      <c r="H383" s="240">
        <v>-0.001972924278921618</v>
      </c>
      <c r="I383" s="241">
        <v>4.111</v>
      </c>
      <c r="J383" s="242">
        <v>39.642</v>
      </c>
      <c r="K383" s="242">
        <v>165.6</v>
      </c>
      <c r="L383" s="242">
        <v>7.24</v>
      </c>
      <c r="M383" s="242">
        <v>103.87</v>
      </c>
      <c r="N383" s="243">
        <v>0.001823740586186275</v>
      </c>
      <c r="O383" s="240">
        <v>-0.002242279818703511</v>
      </c>
      <c r="P383" s="240">
        <v>-4.669386402248671E-4</v>
      </c>
      <c r="Q383" s="240">
        <v>0.0018199255673594903</v>
      </c>
      <c r="R383" s="240">
        <v>-0.003401319967225764</v>
      </c>
    </row>
    <row r="384">
      <c r="A384" s="236">
        <v>42999.0</v>
      </c>
      <c r="B384" s="33">
        <v>-0.028501528871627307</v>
      </c>
      <c r="C384" s="33">
        <v>0.011713731318386881</v>
      </c>
      <c r="D384" s="9">
        <v>-0.016787797553240426</v>
      </c>
      <c r="E384" s="9">
        <v>0.006801447558920766</v>
      </c>
      <c r="F384" s="237">
        <v>1502.558369169035</v>
      </c>
      <c r="G384" s="237">
        <v>-3708.717224534394</v>
      </c>
      <c r="H384" s="240">
        <v>-0.002154640384797355</v>
      </c>
      <c r="I384" s="241">
        <v>4.099</v>
      </c>
      <c r="J384" s="242">
        <v>39.842</v>
      </c>
      <c r="K384" s="242">
        <v>166.06</v>
      </c>
      <c r="L384" s="242">
        <v>7.155</v>
      </c>
      <c r="M384" s="242">
        <v>103.98</v>
      </c>
      <c r="N384" s="243">
        <v>-4.944913115580218E-4</v>
      </c>
      <c r="O384" s="240">
        <v>-0.0010617018692638785</v>
      </c>
      <c r="P384" s="240">
        <v>-2.4454444357990417E-4</v>
      </c>
      <c r="Q384" s="240">
        <v>-9.361108558039863E-4</v>
      </c>
      <c r="R384" s="240">
        <v>-0.003397753916708096</v>
      </c>
    </row>
    <row r="385">
      <c r="A385" s="236">
        <v>42998.0</v>
      </c>
      <c r="B385" s="33">
        <v>-0.035319830720214815</v>
      </c>
      <c r="C385" s="33">
        <v>0.011730585608053625</v>
      </c>
      <c r="D385" s="9">
        <v>-0.023589245112161192</v>
      </c>
      <c r="E385" s="9">
        <v>-0.003419816882863684</v>
      </c>
      <c r="F385" s="237">
        <v>-755.4971840711723</v>
      </c>
      <c r="G385" s="237">
        <v>-5211.275593703429</v>
      </c>
      <c r="H385" s="240">
        <v>-0.0034960722150454084</v>
      </c>
      <c r="I385" s="241">
        <v>4.093</v>
      </c>
      <c r="J385" s="242">
        <v>39.841</v>
      </c>
      <c r="K385" s="242">
        <v>165.46</v>
      </c>
      <c r="L385" s="242">
        <v>7.1850000000000005</v>
      </c>
      <c r="M385" s="242">
        <v>105.02</v>
      </c>
      <c r="N385" s="243">
        <v>-9.158988126115444E-4</v>
      </c>
      <c r="O385" s="240">
        <v>-0.0010700682498003113</v>
      </c>
      <c r="P385" s="240">
        <v>-0.0014489284011855775</v>
      </c>
      <c r="Q385" s="240">
        <v>4.615131833294985E-4</v>
      </c>
      <c r="R385" s="240">
        <v>-6.377943443589003E-5</v>
      </c>
    </row>
    <row r="386">
      <c r="A386" s="236">
        <v>42997.0</v>
      </c>
      <c r="B386" s="33">
        <v>-0.031916916698457844</v>
      </c>
      <c r="C386" s="33">
        <v>0.011747488469160334</v>
      </c>
      <c r="D386" s="9">
        <v>-0.020169428229297508</v>
      </c>
      <c r="E386" s="9">
        <v>-0.009845551830449148</v>
      </c>
      <c r="F386" s="237">
        <v>-2175.054085732931</v>
      </c>
      <c r="G386" s="237">
        <v>-4455.778409632257</v>
      </c>
      <c r="H386" s="240">
        <v>-0.0024279751578148868</v>
      </c>
      <c r="I386" s="241">
        <v>4.088</v>
      </c>
      <c r="J386" s="242">
        <v>39.909</v>
      </c>
      <c r="K386" s="242">
        <v>165.83</v>
      </c>
      <c r="L386" s="242">
        <v>7.2</v>
      </c>
      <c r="M386" s="242">
        <v>104.93</v>
      </c>
      <c r="N386" s="243">
        <v>-0.0013378397408815906</v>
      </c>
      <c r="O386" s="240">
        <v>-5.011400937132165E-4</v>
      </c>
      <c r="P386" s="240">
        <v>-7.035317292809791E-4</v>
      </c>
      <c r="Q386" s="240">
        <v>0.0011574074074074238</v>
      </c>
      <c r="R386" s="240">
        <v>-3.494393087455111E-4</v>
      </c>
    </row>
    <row r="387">
      <c r="A387" s="236">
        <v>42996.0</v>
      </c>
      <c r="B387" s="33">
        <v>-0.02208831651082133</v>
      </c>
      <c r="C387" s="33">
        <v>0.01176444011197297</v>
      </c>
      <c r="D387" s="9">
        <v>-0.01032387639884836</v>
      </c>
      <c r="E387" s="9">
        <v>0.0027771520681766065</v>
      </c>
      <c r="F387" s="237">
        <v>613.5213197403509</v>
      </c>
      <c r="G387" s="237">
        <v>-2280.7243238993256</v>
      </c>
      <c r="H387" s="240">
        <v>2.6755245637390124E-4</v>
      </c>
      <c r="I387" s="241">
        <v>4.105</v>
      </c>
      <c r="J387" s="242">
        <v>39.969</v>
      </c>
      <c r="K387" s="242">
        <v>166.18</v>
      </c>
      <c r="L387" s="242">
        <v>7.175</v>
      </c>
      <c r="M387" s="242">
        <v>105.04</v>
      </c>
      <c r="N387" s="243">
        <v>-7.013114524160004E-4</v>
      </c>
      <c r="O387" s="240">
        <v>0.0014511246215817215</v>
      </c>
      <c r="P387" s="240">
        <v>-2.8081999438357274E-4</v>
      </c>
      <c r="Q387" s="240">
        <v>0.0</v>
      </c>
      <c r="R387" s="240">
        <v>-0.0035224676313785203</v>
      </c>
    </row>
    <row r="388">
      <c r="A388" s="236">
        <v>42995.0</v>
      </c>
      <c r="B388" s="33">
        <v>-0.0248824692149979</v>
      </c>
      <c r="C388" s="33">
        <v>0.011781440747972933</v>
      </c>
      <c r="D388" s="9">
        <v>-0.013101028467024966</v>
      </c>
      <c r="E388" s="9">
        <v>-2.1552571117211886E-4</v>
      </c>
      <c r="F388" s="237">
        <v>-47.613387927696294</v>
      </c>
      <c r="G388" s="237">
        <v>-2894.2456436396765</v>
      </c>
      <c r="H388" s="240">
        <v>-1.816969338694109E-4</v>
      </c>
      <c r="I388" s="241">
        <v>4.105</v>
      </c>
      <c r="J388" s="242">
        <v>39.969</v>
      </c>
      <c r="K388" s="242">
        <v>166.18</v>
      </c>
      <c r="L388" s="242">
        <v>7.175</v>
      </c>
      <c r="M388" s="242">
        <v>105.04</v>
      </c>
      <c r="N388" s="243">
        <v>-4.913597413095169E-4</v>
      </c>
      <c r="O388" s="240">
        <v>-5.508019186033705E-4</v>
      </c>
      <c r="P388" s="240">
        <v>-0.002946364326594597</v>
      </c>
      <c r="Q388" s="240">
        <v>-0.0030197444831591355</v>
      </c>
      <c r="R388" s="240">
        <v>-0.006474265401829132</v>
      </c>
    </row>
    <row r="389">
      <c r="A389" s="236">
        <v>42994.0</v>
      </c>
      <c r="B389" s="33">
        <v>-0.024709352457120918</v>
      </c>
      <c r="C389" s="33">
        <v>0.01182384970126807</v>
      </c>
      <c r="D389" s="9">
        <v>-0.012885502755852847</v>
      </c>
      <c r="E389" s="9">
        <v>-0.001758968987882784</v>
      </c>
      <c r="F389" s="237">
        <v>-388.5869222626834</v>
      </c>
      <c r="G389" s="237">
        <v>-2846.63225571198</v>
      </c>
      <c r="H389" s="240">
        <v>0.0021512703555613033</v>
      </c>
      <c r="I389" s="241">
        <v>4.105</v>
      </c>
      <c r="J389" s="242">
        <v>39.969</v>
      </c>
      <c r="K389" s="242">
        <v>166.18</v>
      </c>
      <c r="L389" s="242">
        <v>7.175</v>
      </c>
      <c r="M389" s="242">
        <v>105.04</v>
      </c>
      <c r="N389" s="243">
        <v>-7.014437749230003E-4</v>
      </c>
      <c r="O389" s="240">
        <v>1.4860358671707442E-4</v>
      </c>
      <c r="P389" s="240">
        <v>-0.002866833558128563</v>
      </c>
      <c r="Q389" s="240">
        <v>-0.0014083264352769927</v>
      </c>
      <c r="R389" s="240">
        <v>-0.005353712595778149</v>
      </c>
    </row>
    <row r="390">
      <c r="A390" s="236">
        <v>42993.0</v>
      </c>
      <c r="B390" s="33">
        <v>-0.02542612685045192</v>
      </c>
      <c r="C390" s="33">
        <v>0.014299593082481857</v>
      </c>
      <c r="D390" s="9">
        <v>-0.011126533767970063</v>
      </c>
      <c r="E390" s="9">
        <v>0.00142940389744667</v>
      </c>
      <c r="F390" s="237">
        <v>315.7802468408845</v>
      </c>
      <c r="G390" s="237">
        <v>-2458.045333449297</v>
      </c>
      <c r="H390" s="240">
        <v>9.124523394099625E-4</v>
      </c>
      <c r="I390" s="241">
        <v>4.113</v>
      </c>
      <c r="J390" s="242">
        <v>39.795</v>
      </c>
      <c r="K390" s="242">
        <v>166.32</v>
      </c>
      <c r="L390" s="242">
        <v>7.175</v>
      </c>
      <c r="M390" s="242">
        <v>106.15</v>
      </c>
      <c r="N390" s="243">
        <v>-5.600035521241452E-4</v>
      </c>
      <c r="O390" s="240">
        <v>8.668573547891296E-4</v>
      </c>
      <c r="P390" s="240">
        <v>-8.558065355247077E-4</v>
      </c>
      <c r="Q390" s="240">
        <v>2.109194587780683E-4</v>
      </c>
      <c r="R390" s="240">
        <v>-0.0011129214689750255</v>
      </c>
    </row>
    <row r="391">
      <c r="A391" s="236">
        <v>42992.0</v>
      </c>
      <c r="B391" s="33">
        <v>-0.02686579816929984</v>
      </c>
      <c r="C391" s="33">
        <v>0.014309860503883108</v>
      </c>
      <c r="D391" s="9">
        <v>-0.012555937665416734</v>
      </c>
      <c r="E391" s="9">
        <v>0.006783376157120024</v>
      </c>
      <c r="F391" s="237">
        <v>1498.5660813827817</v>
      </c>
      <c r="G391" s="237">
        <v>-2773.8255802901813</v>
      </c>
      <c r="H391" s="240">
        <v>-8.781846925926274E-4</v>
      </c>
      <c r="I391" s="241">
        <v>4.111</v>
      </c>
      <c r="J391" s="242">
        <v>40.034</v>
      </c>
      <c r="K391" s="242">
        <v>167.65</v>
      </c>
      <c r="L391" s="242">
        <v>7.24</v>
      </c>
      <c r="M391" s="242">
        <v>107.09</v>
      </c>
      <c r="N391" s="243">
        <v>-0.0031454181291567084</v>
      </c>
      <c r="O391" s="240">
        <v>0.0044728823244694375</v>
      </c>
      <c r="P391" s="240">
        <v>8.301688070417989E-4</v>
      </c>
      <c r="Q391" s="240">
        <v>0.004392914058162191</v>
      </c>
      <c r="R391" s="240">
        <v>4.930234063268962E-4</v>
      </c>
    </row>
    <row r="392">
      <c r="A392" s="236">
        <v>42991.0</v>
      </c>
      <c r="B392" s="33">
        <v>-0.03366997354226854</v>
      </c>
      <c r="C392" s="33">
        <v>0.014330659719731784</v>
      </c>
      <c r="D392" s="9">
        <v>-0.019339313822536758</v>
      </c>
      <c r="E392" s="9">
        <v>-0.005475423036336807</v>
      </c>
      <c r="F392" s="237">
        <v>-1209.616428961228</v>
      </c>
      <c r="G392" s="237">
        <v>-4272.391661672963</v>
      </c>
      <c r="H392" s="240">
        <v>-0.001968027268709025</v>
      </c>
      <c r="I392" s="241">
        <v>4.113</v>
      </c>
      <c r="J392" s="242">
        <v>39.95</v>
      </c>
      <c r="K392" s="242">
        <v>167.61</v>
      </c>
      <c r="L392" s="242">
        <v>7.205</v>
      </c>
      <c r="M392" s="242">
        <v>106.73</v>
      </c>
      <c r="N392" s="243">
        <v>-0.002935334095543225</v>
      </c>
      <c r="O392" s="240">
        <v>0.003773476819148993</v>
      </c>
      <c r="P392" s="240">
        <v>7.506380385757643E-4</v>
      </c>
      <c r="Q392" s="240">
        <v>0.0027814960102800477</v>
      </c>
      <c r="R392" s="240">
        <v>-6.275293997240871E-4</v>
      </c>
    </row>
    <row r="393">
      <c r="A393" s="236">
        <v>42990.0</v>
      </c>
      <c r="B393" s="33">
        <v>-0.028215410272627122</v>
      </c>
      <c r="C393" s="33">
        <v>0.014351519486427171</v>
      </c>
      <c r="D393" s="9">
        <v>-0.013863890786199951</v>
      </c>
      <c r="E393" s="9">
        <v>-0.0039425071985610995</v>
      </c>
      <c r="F393" s="237">
        <v>-870.9685894640825</v>
      </c>
      <c r="G393" s="237">
        <v>-3062.775232711735</v>
      </c>
      <c r="H393" s="240">
        <v>4.5991809304175786E-4</v>
      </c>
      <c r="I393" s="241">
        <v>4.12</v>
      </c>
      <c r="J393" s="242">
        <v>39.69</v>
      </c>
      <c r="K393" s="242">
        <v>166.74</v>
      </c>
      <c r="L393" s="242">
        <v>7.17</v>
      </c>
      <c r="M393" s="242">
        <v>106.5</v>
      </c>
      <c r="N393" s="243">
        <v>-0.00709277122527405</v>
      </c>
      <c r="O393" s="240">
        <v>0.005772980342117475</v>
      </c>
      <c r="P393" s="240">
        <v>-0.001537682565757259</v>
      </c>
      <c r="Q393" s="240">
        <v>-0.0011703834270453569</v>
      </c>
      <c r="R393" s="240">
        <v>-0.0035279658039051635</v>
      </c>
    </row>
    <row r="394">
      <c r="A394" s="236">
        <v>42989.0</v>
      </c>
      <c r="B394" s="33">
        <v>-0.024040519570049337</v>
      </c>
      <c r="C394" s="33">
        <v>0.014119135982410486</v>
      </c>
      <c r="D394" s="9">
        <v>-0.009921383587638851</v>
      </c>
      <c r="E394" s="9">
        <v>0.0035138484287708313</v>
      </c>
      <c r="F394" s="237">
        <v>776.2703922808532</v>
      </c>
      <c r="G394" s="237">
        <v>-2191.8066432476526</v>
      </c>
      <c r="H394" s="240">
        <v>-0.0015897140328656196</v>
      </c>
      <c r="I394" s="241">
        <v>4.15</v>
      </c>
      <c r="J394" s="242">
        <v>39.499</v>
      </c>
      <c r="K394" s="242">
        <v>167.23</v>
      </c>
      <c r="L394" s="242">
        <v>7.1450000000000005</v>
      </c>
      <c r="M394" s="242">
        <v>106.93</v>
      </c>
      <c r="N394" s="243">
        <v>-0.0029388009374997207</v>
      </c>
      <c r="O394" s="240">
        <v>0.002092225073755489</v>
      </c>
      <c r="P394" s="240">
        <v>-0.0018913673122081306</v>
      </c>
      <c r="Q394" s="240">
        <v>-0.004880699329696089</v>
      </c>
      <c r="R394" s="240">
        <v>-0.002553756502550038</v>
      </c>
    </row>
    <row r="395">
      <c r="A395" s="236">
        <v>42987.0</v>
      </c>
      <c r="B395" s="33">
        <v>-0.02759565202216055</v>
      </c>
      <c r="C395" s="33">
        <v>0.014160420005750867</v>
      </c>
      <c r="D395" s="9">
        <v>-0.013435232016409683</v>
      </c>
      <c r="E395" s="9">
        <v>0.0018084130489155418</v>
      </c>
      <c r="F395" s="237">
        <v>399.5099775486183</v>
      </c>
      <c r="G395" s="237">
        <v>-2968.077035528506</v>
      </c>
      <c r="H395" s="240">
        <v>3.610714515913007E-4</v>
      </c>
      <c r="I395" s="241">
        <v>4.15</v>
      </c>
      <c r="J395" s="242">
        <v>39.499</v>
      </c>
      <c r="K395" s="242">
        <v>167.23</v>
      </c>
      <c r="L395" s="242">
        <v>7.1450000000000005</v>
      </c>
      <c r="M395" s="242">
        <v>106.93</v>
      </c>
      <c r="N395" s="243">
        <v>-0.0017009218370251187</v>
      </c>
      <c r="O395" s="240">
        <v>0.0010985438670697604</v>
      </c>
      <c r="P395" s="240">
        <v>-0.002406688198560037</v>
      </c>
      <c r="Q395" s="240">
        <v>-0.004650814272224829</v>
      </c>
      <c r="R395" s="240">
        <v>-0.002430013269758106</v>
      </c>
    </row>
    <row r="396">
      <c r="A396" s="236">
        <v>42985.0</v>
      </c>
      <c r="B396" s="33">
        <v>-0.02944559122945073</v>
      </c>
      <c r="C396" s="33">
        <v>0.014201946164125505</v>
      </c>
      <c r="D396" s="9">
        <v>-0.015243645065325225</v>
      </c>
      <c r="E396" s="9">
        <v>-0.010091403576283232</v>
      </c>
      <c r="F396" s="237">
        <v>-2229.3670235417812</v>
      </c>
      <c r="G396" s="237">
        <v>-3367.587013077124</v>
      </c>
      <c r="H396" s="240">
        <v>0.0014593226098740426</v>
      </c>
      <c r="I396" s="241">
        <v>4.208</v>
      </c>
      <c r="J396" s="242">
        <v>39.005</v>
      </c>
      <c r="K396" s="242">
        <v>167.51</v>
      </c>
      <c r="L396" s="242">
        <v>7.195</v>
      </c>
      <c r="M396" s="242">
        <v>107.63</v>
      </c>
      <c r="N396" s="243">
        <v>0.00612261969689315</v>
      </c>
      <c r="O396" s="240">
        <v>-0.0036038068630299125</v>
      </c>
      <c r="P396" s="240">
        <v>-5.424715590419356E-4</v>
      </c>
      <c r="Q396" s="240">
        <v>-4.778310625178613E-4</v>
      </c>
      <c r="R396" s="240">
        <v>-6.221658047985558E-5</v>
      </c>
    </row>
    <row r="397">
      <c r="A397" s="236">
        <v>42984.0</v>
      </c>
      <c r="B397" s="33">
        <v>-0.019375042199664013</v>
      </c>
      <c r="C397" s="33">
        <v>0.01422280071062202</v>
      </c>
      <c r="D397" s="9">
        <v>-0.005152241489041993</v>
      </c>
      <c r="E397" s="9">
        <v>0.009366204882141592</v>
      </c>
      <c r="F397" s="237">
        <v>2069.157986016558</v>
      </c>
      <c r="G397" s="237">
        <v>-1138.2199895353428</v>
      </c>
      <c r="H397" s="240">
        <v>0.0019641407037388463</v>
      </c>
      <c r="I397" s="241">
        <v>4.186</v>
      </c>
      <c r="J397" s="242">
        <v>39.248</v>
      </c>
      <c r="K397" s="242">
        <v>168.18</v>
      </c>
      <c r="L397" s="242">
        <v>7.25</v>
      </c>
      <c r="M397" s="242">
        <v>107.75</v>
      </c>
      <c r="N397" s="243">
        <v>0.0043441122750449</v>
      </c>
      <c r="O397" s="240">
        <v>-0.0015271500241631434</v>
      </c>
      <c r="P397" s="240">
        <v>7.907821770534538E-4</v>
      </c>
      <c r="Q397" s="240">
        <v>0.002070234723907884</v>
      </c>
      <c r="R397" s="240">
        <v>3.094270133137105E-4</v>
      </c>
    </row>
    <row r="398">
      <c r="A398" s="236">
        <v>42983.0</v>
      </c>
      <c r="B398" s="33">
        <v>-0.028762162965203578</v>
      </c>
      <c r="C398" s="33">
        <v>0.014243716594019993</v>
      </c>
      <c r="D398" s="9">
        <v>-0.014518446371183585</v>
      </c>
      <c r="E398" s="9">
        <v>0.005103166523763768</v>
      </c>
      <c r="F398" s="237">
        <v>1127.3784739378634</v>
      </c>
      <c r="G398" s="237">
        <v>-3207.377975551901</v>
      </c>
      <c r="H398" s="240">
        <v>-0.0031201835253470145</v>
      </c>
      <c r="I398" s="241">
        <v>4.17</v>
      </c>
      <c r="J398" s="242">
        <v>39.365</v>
      </c>
      <c r="K398" s="242">
        <v>168.44</v>
      </c>
      <c r="L398" s="242">
        <v>7.245</v>
      </c>
      <c r="M398" s="242">
        <v>107.71000000000001</v>
      </c>
      <c r="N398" s="243">
        <v>0.0035939700753506217</v>
      </c>
      <c r="O398" s="240">
        <v>-0.0028499275101154797</v>
      </c>
      <c r="P398" s="240">
        <v>4.120751697351003E-4</v>
      </c>
      <c r="Q398" s="240">
        <v>0.0018403496664366244</v>
      </c>
      <c r="R398" s="240">
        <v>0.002167414698620557</v>
      </c>
    </row>
    <row r="399">
      <c r="A399" s="236">
        <v>42982.0</v>
      </c>
      <c r="B399" s="33">
        <v>-0.03393057392622646</v>
      </c>
      <c r="C399" s="33">
        <v>0.01430896103127911</v>
      </c>
      <c r="D399" s="9">
        <v>-0.019621612894947352</v>
      </c>
      <c r="E399" s="9">
        <v>-0.00857694929468882</v>
      </c>
      <c r="F399" s="237">
        <v>-1894.7976637370516</v>
      </c>
      <c r="G399" s="237">
        <v>-4334.756449489764</v>
      </c>
      <c r="H399" s="240">
        <v>-0.0030799032018530566</v>
      </c>
      <c r="I399" s="241">
        <v>4.131</v>
      </c>
      <c r="J399" s="242">
        <v>39.428</v>
      </c>
      <c r="K399" s="242">
        <v>167.78</v>
      </c>
      <c r="L399" s="242">
        <v>7.205</v>
      </c>
      <c r="M399" s="242">
        <v>107.65</v>
      </c>
      <c r="N399" s="243">
        <v>-0.0012567331292245886</v>
      </c>
      <c r="O399" s="240">
        <v>-7.884080486739069E-4</v>
      </c>
      <c r="P399" s="240">
        <v>-0.0011912400437029645</v>
      </c>
      <c r="Q399" s="240">
        <v>-4.6264168401571995E-4</v>
      </c>
      <c r="R399" s="240">
        <v>0.003321169599841939</v>
      </c>
    </row>
    <row r="400">
      <c r="A400" s="236">
        <v>42980.0</v>
      </c>
      <c r="B400" s="33">
        <v>-0.025395896303712764</v>
      </c>
      <c r="C400" s="33">
        <v>0.014351232703454233</v>
      </c>
      <c r="D400" s="9">
        <v>-0.011044663600258532</v>
      </c>
      <c r="E400" s="9">
        <v>-0.005886767805115991</v>
      </c>
      <c r="F400" s="237">
        <v>-1300.4896614001675</v>
      </c>
      <c r="G400" s="237">
        <v>-2439.9587857527126</v>
      </c>
      <c r="H400" s="240">
        <v>0.002749086903675686</v>
      </c>
      <c r="I400" s="241">
        <v>4.131</v>
      </c>
      <c r="J400" s="242">
        <v>39.428</v>
      </c>
      <c r="K400" s="242">
        <v>167.78</v>
      </c>
      <c r="L400" s="242">
        <v>7.205</v>
      </c>
      <c r="M400" s="242">
        <v>107.65</v>
      </c>
      <c r="N400" s="243">
        <v>-9.096555226717007E-4</v>
      </c>
      <c r="O400" s="240">
        <v>0.0021383800754826493</v>
      </c>
      <c r="P400" s="240">
        <v>9.553194030148119E-5</v>
      </c>
      <c r="Q400" s="240">
        <v>0.007160365938991904</v>
      </c>
      <c r="R400" s="240">
        <v>0.006792740250996</v>
      </c>
    </row>
    <row r="401">
      <c r="A401" s="236">
        <v>42979.0</v>
      </c>
      <c r="B401" s="33">
        <v>-0.0205373484600852</v>
      </c>
      <c r="C401" s="33">
        <v>0.015379452664942658</v>
      </c>
      <c r="D401" s="9">
        <v>-0.005157895795142541</v>
      </c>
      <c r="E401" s="9">
        <v>0.005224007494245642</v>
      </c>
      <c r="F401" s="237">
        <v>1154.0743515379047</v>
      </c>
      <c r="G401" s="237">
        <v>-1139.4691243525451</v>
      </c>
      <c r="H401" s="240">
        <v>0.011554461104697156</v>
      </c>
      <c r="I401" s="241">
        <v>4.125</v>
      </c>
      <c r="J401" s="242">
        <v>39.702</v>
      </c>
      <c r="K401" s="242">
        <v>168.23</v>
      </c>
      <c r="L401" s="242">
        <v>7.205</v>
      </c>
      <c r="M401" s="242">
        <v>107.01</v>
      </c>
      <c r="N401" s="243">
        <v>-0.0011889288003542893</v>
      </c>
      <c r="O401" s="240">
        <v>0.009381701658376764</v>
      </c>
      <c r="P401" s="240">
        <v>0.003930794755174448</v>
      </c>
      <c r="Q401" s="240">
        <v>0.009760838752230662</v>
      </c>
      <c r="R401" s="240">
        <v>0.005948773626061153</v>
      </c>
    </row>
    <row r="402">
      <c r="A402" s="236">
        <v>42978.0</v>
      </c>
      <c r="B402" s="33">
        <v>-0.02578414032864927</v>
      </c>
      <c r="C402" s="33">
        <v>0.015402237039261088</v>
      </c>
      <c r="D402" s="9">
        <v>-0.010381903289388183</v>
      </c>
      <c r="E402" s="9">
        <v>0.008910021021897406</v>
      </c>
      <c r="F402" s="237">
        <v>1968.3790163704994</v>
      </c>
      <c r="G402" s="237">
        <v>-2293.54347589045</v>
      </c>
      <c r="H402" s="240">
        <v>0.004207802931549271</v>
      </c>
      <c r="I402" s="241">
        <v>4.147</v>
      </c>
      <c r="J402" s="242">
        <v>39.52</v>
      </c>
      <c r="K402" s="242">
        <v>168.38</v>
      </c>
      <c r="L402" s="242">
        <v>7.215</v>
      </c>
      <c r="M402" s="242">
        <v>106.58</v>
      </c>
      <c r="N402" s="243">
        <v>5.555412296506236E-4</v>
      </c>
      <c r="O402" s="240">
        <v>0.0055216823146146815</v>
      </c>
      <c r="P402" s="240">
        <v>0.0035062023939289293</v>
      </c>
      <c r="Q402" s="240">
        <v>0.006411233593263295</v>
      </c>
      <c r="R402" s="240">
        <v>0.005275303929190962</v>
      </c>
    </row>
    <row r="403">
      <c r="A403" s="236">
        <v>42977.0</v>
      </c>
      <c r="B403" s="33">
        <v>-0.03471701333428446</v>
      </c>
      <c r="C403" s="33">
        <v>0.01542508902299887</v>
      </c>
      <c r="D403" s="9">
        <v>-0.01929192431128559</v>
      </c>
      <c r="E403" s="9">
        <v>0.020529354797948422</v>
      </c>
      <c r="F403" s="237">
        <v>4535.292465034095</v>
      </c>
      <c r="G403" s="237">
        <v>-4261.922492260949</v>
      </c>
      <c r="H403" s="240">
        <v>4.1443074363950796E-4</v>
      </c>
      <c r="I403" s="241">
        <v>4.143</v>
      </c>
      <c r="J403" s="242">
        <v>39.173</v>
      </c>
      <c r="K403" s="242">
        <v>167.73</v>
      </c>
      <c r="L403" s="242">
        <v>7.05</v>
      </c>
      <c r="M403" s="242">
        <v>105.47</v>
      </c>
      <c r="N403" s="243">
        <v>2.0846362309773564E-4</v>
      </c>
      <c r="O403" s="240">
        <v>0.0025948941904581258</v>
      </c>
      <c r="P403" s="240">
        <v>0.0022194304099244833</v>
      </c>
      <c r="Q403" s="240">
        <v>-0.0012117740297443293</v>
      </c>
      <c r="R403" s="240">
        <v>0.0018037332780369015</v>
      </c>
    </row>
    <row r="404">
      <c r="A404" s="236">
        <v>42976.0</v>
      </c>
      <c r="B404" s="33">
        <v>-0.05526928802676928</v>
      </c>
      <c r="C404" s="33">
        <v>0.01544800891753527</v>
      </c>
      <c r="D404" s="9">
        <v>-0.03982127910923401</v>
      </c>
      <c r="E404" s="9">
        <v>-0.016815967025198015</v>
      </c>
      <c r="F404" s="237">
        <v>-3714.9403521080876</v>
      </c>
      <c r="G404" s="237">
        <v>-8797.214957295044</v>
      </c>
      <c r="H404" s="240">
        <v>-0.009296740312354414</v>
      </c>
      <c r="I404" s="241">
        <v>4.14</v>
      </c>
      <c r="J404" s="242">
        <v>38.594</v>
      </c>
      <c r="K404" s="242">
        <v>166.25</v>
      </c>
      <c r="L404" s="242">
        <v>6.995</v>
      </c>
      <c r="M404" s="242">
        <v>105.11</v>
      </c>
      <c r="N404" s="243">
        <v>9.734390209985032E-4</v>
      </c>
      <c r="O404" s="240">
        <v>-0.004759236436863881</v>
      </c>
      <c r="P404" s="240">
        <v>-0.0030626003818742006</v>
      </c>
      <c r="Q404" s="240">
        <v>-0.004047818103289324</v>
      </c>
      <c r="R404" s="240">
        <v>0.002159454844421743</v>
      </c>
    </row>
    <row r="405">
      <c r="A405" s="236">
        <v>42975.0</v>
      </c>
      <c r="B405" s="33">
        <v>-0.03847630911007951</v>
      </c>
      <c r="C405" s="33">
        <v>0.015470997026043511</v>
      </c>
      <c r="D405" s="9">
        <v>-0.023005312084035997</v>
      </c>
      <c r="E405" s="9">
        <v>-0.0024700955418318835</v>
      </c>
      <c r="F405" s="237">
        <v>-545.6871786298889</v>
      </c>
      <c r="G405" s="237">
        <v>-5082.274605186956</v>
      </c>
      <c r="H405" s="240">
        <v>-0.005517613988700807</v>
      </c>
      <c r="I405" s="241">
        <v>4.14</v>
      </c>
      <c r="J405" s="242">
        <v>38.864000000000004</v>
      </c>
      <c r="K405" s="242">
        <v>166.61</v>
      </c>
      <c r="L405" s="242">
        <v>7.075</v>
      </c>
      <c r="M405" s="242">
        <v>104.9</v>
      </c>
      <c r="N405" s="243">
        <v>0.0016707890907334925</v>
      </c>
      <c r="O405" s="240">
        <v>-0.0035597512819949234</v>
      </c>
      <c r="P405" s="240">
        <v>-0.004049382511832545</v>
      </c>
      <c r="Q405" s="240">
        <v>-2.355712603062376E-4</v>
      </c>
      <c r="R405" s="240">
        <v>3.1247146394090055E-4</v>
      </c>
    </row>
    <row r="406">
      <c r="A406" s="236">
        <v>42973.0</v>
      </c>
      <c r="B406" s="33">
        <v>-0.036052395648922375</v>
      </c>
      <c r="C406" s="33">
        <v>0.015517179106718262</v>
      </c>
      <c r="D406" s="9">
        <v>-0.020535216542204113</v>
      </c>
      <c r="E406" s="9">
        <v>-0.008604158370033345</v>
      </c>
      <c r="F406" s="237">
        <v>-1900.8086229515566</v>
      </c>
      <c r="G406" s="237">
        <v>-4536.587426557067</v>
      </c>
      <c r="H406" s="240">
        <v>-0.0024971510078286054</v>
      </c>
      <c r="I406" s="241">
        <v>4.14</v>
      </c>
      <c r="J406" s="242">
        <v>38.864000000000004</v>
      </c>
      <c r="K406" s="242">
        <v>166.61</v>
      </c>
      <c r="L406" s="242">
        <v>7.075</v>
      </c>
      <c r="M406" s="242">
        <v>104.9</v>
      </c>
      <c r="N406" s="243">
        <v>0.0016707890907334925</v>
      </c>
      <c r="O406" s="240">
        <v>-0.004976927113631054</v>
      </c>
      <c r="P406" s="240">
        <v>-0.003970318628214541</v>
      </c>
      <c r="Q406" s="240">
        <v>-0.0018834055352591635</v>
      </c>
      <c r="R406" s="240">
        <v>5.033111585973511E-4</v>
      </c>
    </row>
    <row r="407">
      <c r="A407" s="236">
        <v>42972.0</v>
      </c>
      <c r="B407" s="33">
        <v>-0.0274714318664925</v>
      </c>
      <c r="C407" s="33">
        <v>0.015540373694321732</v>
      </c>
      <c r="D407" s="9">
        <v>-0.011931058172170769</v>
      </c>
      <c r="E407" s="9">
        <v>-0.005478588054237194</v>
      </c>
      <c r="F407" s="237">
        <v>-1210.3156366068945</v>
      </c>
      <c r="G407" s="237">
        <v>-2635.778803605511</v>
      </c>
      <c r="H407" s="240">
        <v>-0.0011848511420095513</v>
      </c>
      <c r="I407" s="241">
        <v>4.128</v>
      </c>
      <c r="J407" s="242">
        <v>39.147</v>
      </c>
      <c r="K407" s="242">
        <v>167.78</v>
      </c>
      <c r="L407" s="242">
        <v>7.08</v>
      </c>
      <c r="M407" s="242">
        <v>104.43</v>
      </c>
      <c r="N407" s="243">
        <v>0.0016058056951717675</v>
      </c>
      <c r="O407" s="240">
        <v>-0.0034960769326107164</v>
      </c>
      <c r="P407" s="240">
        <v>-0.0022819545488404146</v>
      </c>
      <c r="Q407" s="240">
        <v>-0.0016478342749529258</v>
      </c>
      <c r="R407" s="240">
        <v>-0.0021676936367288715</v>
      </c>
    </row>
    <row r="408">
      <c r="A408" s="236">
        <v>42971.0</v>
      </c>
      <c r="B408" s="33">
        <v>-0.02201610784473183</v>
      </c>
      <c r="C408" s="33">
        <v>0.015563637726798255</v>
      </c>
      <c r="D408" s="9">
        <v>-0.0064524701179335744</v>
      </c>
      <c r="E408" s="9">
        <v>0.006591293400784723</v>
      </c>
      <c r="F408" s="237">
        <v>1456.1316509759615</v>
      </c>
      <c r="G408" s="237">
        <v>-1425.4631669986163</v>
      </c>
      <c r="H408" s="240">
        <v>0.0010978390472352491</v>
      </c>
      <c r="I408" s="241">
        <v>4.119</v>
      </c>
      <c r="J408" s="242">
        <v>39.28</v>
      </c>
      <c r="K408" s="242">
        <v>168.64000000000001</v>
      </c>
      <c r="L408" s="242">
        <v>7.08</v>
      </c>
      <c r="M408" s="242">
        <v>104.8</v>
      </c>
      <c r="N408" s="243">
        <v>0.0011887443227950355</v>
      </c>
      <c r="O408" s="240">
        <v>0.0016388670722219743</v>
      </c>
      <c r="P408" s="240">
        <v>5.118942325331149E-4</v>
      </c>
      <c r="Q408" s="240">
        <v>-0.0011793404824956858</v>
      </c>
      <c r="R408" s="240">
        <v>-2.25571829837598E-4</v>
      </c>
    </row>
    <row r="409">
      <c r="A409" s="236">
        <v>42970.0</v>
      </c>
      <c r="B409" s="33">
        <v>-0.0286307350352119</v>
      </c>
      <c r="C409" s="33">
        <v>0.015586971516493603</v>
      </c>
      <c r="D409" s="9">
        <v>-0.013043763518718297</v>
      </c>
      <c r="E409" s="9">
        <v>-0.004667258772576182</v>
      </c>
      <c r="F409" s="237">
        <v>-1031.0788503564847</v>
      </c>
      <c r="G409" s="237">
        <v>-2881.594817974578</v>
      </c>
      <c r="H409" s="240">
        <v>-0.0014013896540134262</v>
      </c>
      <c r="I409" s="241">
        <v>4.119</v>
      </c>
      <c r="J409" s="242">
        <v>39.447</v>
      </c>
      <c r="K409" s="242">
        <v>168.6</v>
      </c>
      <c r="L409" s="242">
        <v>7.115</v>
      </c>
      <c r="M409" s="242">
        <v>104.74000000000001</v>
      </c>
      <c r="N409" s="243">
        <v>0.0011887443227950355</v>
      </c>
      <c r="O409" s="240">
        <v>0.003056042903858105</v>
      </c>
      <c r="P409" s="240">
        <v>4.3283034891511115E-4</v>
      </c>
      <c r="Q409" s="240">
        <v>4.6849379245723997E-4</v>
      </c>
      <c r="R409" s="240">
        <v>-4.1641152449404866E-4</v>
      </c>
    </row>
    <row r="410">
      <c r="A410" s="236">
        <v>42969.0</v>
      </c>
      <c r="B410" s="33">
        <v>-0.023986880123771603</v>
      </c>
      <c r="C410" s="33">
        <v>0.015610375377629488</v>
      </c>
      <c r="D410" s="9">
        <v>-0.008376504746142115</v>
      </c>
      <c r="E410" s="9">
        <v>0.0013694825134972066</v>
      </c>
      <c r="F410" s="237">
        <v>302.54256821946115</v>
      </c>
      <c r="G410" s="237">
        <v>-1850.515967618093</v>
      </c>
      <c r="H410" s="240">
        <v>4.6630474764557985E-4</v>
      </c>
      <c r="I410" s="241">
        <v>4.108</v>
      </c>
      <c r="J410" s="242">
        <v>39.559</v>
      </c>
      <c r="K410" s="242">
        <v>168.93</v>
      </c>
      <c r="L410" s="242">
        <v>7.115</v>
      </c>
      <c r="M410" s="242">
        <v>105.11</v>
      </c>
      <c r="N410" s="243">
        <v>-7.015473360242006E-4</v>
      </c>
      <c r="O410" s="240">
        <v>9.492076369241858E-4</v>
      </c>
      <c r="P410" s="240">
        <v>-0.0011913344469478171</v>
      </c>
      <c r="Q410" s="240">
        <v>4.6849379245723997E-4</v>
      </c>
      <c r="R410" s="240">
        <v>-0.0014956549293923364</v>
      </c>
    </row>
    <row r="411">
      <c r="A411" s="236">
        <v>42968.0</v>
      </c>
      <c r="B411" s="33">
        <v>-0.025379836885956974</v>
      </c>
      <c r="C411" s="33">
        <v>0.015633849626317652</v>
      </c>
      <c r="D411" s="9">
        <v>-0.009745987259639322</v>
      </c>
      <c r="E411" s="9">
        <v>-9.063927029613027E-4</v>
      </c>
      <c r="F411" s="237">
        <v>-200.23795372824293</v>
      </c>
      <c r="G411" s="237">
        <v>-2153.0585358375542</v>
      </c>
      <c r="H411" s="240">
        <v>-4.541630738156069E-4</v>
      </c>
      <c r="I411" s="241">
        <v>4.105</v>
      </c>
      <c r="J411" s="242">
        <v>39.084</v>
      </c>
      <c r="K411" s="242">
        <v>168.38</v>
      </c>
      <c r="L411" s="242">
        <v>7.105</v>
      </c>
      <c r="M411" s="242">
        <v>104.87</v>
      </c>
      <c r="N411" s="243">
        <v>0.0013256949085097742</v>
      </c>
      <c r="O411" s="240">
        <v>-0.005816804367018873</v>
      </c>
      <c r="P411" s="240">
        <v>-0.0013721352331454416</v>
      </c>
      <c r="Q411" s="240">
        <v>7.037297677692033E-4</v>
      </c>
      <c r="R411" s="240">
        <v>-7.728954466932949E-4</v>
      </c>
    </row>
    <row r="412">
      <c r="A412" s="236">
        <v>42966.0</v>
      </c>
      <c r="B412" s="33">
        <v>-0.024520605117011703</v>
      </c>
      <c r="C412" s="33">
        <v>0.015681010560333684</v>
      </c>
      <c r="D412" s="9">
        <v>-0.008839594556678019</v>
      </c>
      <c r="E412" s="9">
        <v>9.358244324008357E-4</v>
      </c>
      <c r="F412" s="237">
        <v>206.7399359908993</v>
      </c>
      <c r="G412" s="237">
        <v>-1952.8205821093113</v>
      </c>
      <c r="H412" s="240">
        <v>4.0437795323634954E-4</v>
      </c>
      <c r="I412" s="241">
        <v>4.105</v>
      </c>
      <c r="J412" s="242">
        <v>39.084</v>
      </c>
      <c r="K412" s="242">
        <v>168.38</v>
      </c>
      <c r="L412" s="242">
        <v>7.105</v>
      </c>
      <c r="M412" s="242">
        <v>104.87</v>
      </c>
      <c r="N412" s="243">
        <v>0.0029451851211558834</v>
      </c>
      <c r="O412" s="240">
        <v>-0.009337134272221432</v>
      </c>
      <c r="P412" s="240">
        <v>-0.001450998031591885</v>
      </c>
      <c r="Q412" s="240">
        <v>-0.002117144703316857</v>
      </c>
      <c r="R412" s="240">
        <v>9.713090374978608E-4</v>
      </c>
    </row>
    <row r="413">
      <c r="A413" s="236">
        <v>42965.0</v>
      </c>
      <c r="B413" s="33">
        <v>-0.025480116876542957</v>
      </c>
      <c r="C413" s="33">
        <v>0.015704697887464102</v>
      </c>
      <c r="D413" s="9">
        <v>-0.009775418989078855</v>
      </c>
      <c r="E413" s="9">
        <v>-0.0013919209508863536</v>
      </c>
      <c r="F413" s="237">
        <v>-307.4996103194062</v>
      </c>
      <c r="G413" s="237">
        <v>-2159.5605181002106</v>
      </c>
      <c r="H413" s="240">
        <v>-4.0082114227434534E-4</v>
      </c>
      <c r="I413" s="241">
        <v>4.117</v>
      </c>
      <c r="J413" s="242">
        <v>39.442</v>
      </c>
      <c r="K413" s="242">
        <v>169.53</v>
      </c>
      <c r="L413" s="242">
        <v>7.105</v>
      </c>
      <c r="M413" s="242">
        <v>105.58</v>
      </c>
      <c r="N413" s="243">
        <v>0.0024411370534981724</v>
      </c>
      <c r="O413" s="240">
        <v>-0.004757759044272062</v>
      </c>
      <c r="P413" s="240">
        <v>0.001554906895232324</v>
      </c>
      <c r="Q413" s="240">
        <v>2.138576276854657E-4</v>
      </c>
      <c r="R413" s="240">
        <v>0.004375737789803282</v>
      </c>
    </row>
    <row r="414">
      <c r="A414" s="236">
        <v>42964.0</v>
      </c>
      <c r="B414" s="33">
        <v>-0.02411195492397349</v>
      </c>
      <c r="C414" s="33">
        <v>0.01572845688578099</v>
      </c>
      <c r="D414" s="9">
        <v>-0.008383498038192501</v>
      </c>
      <c r="E414" s="9">
        <v>0.0016692303781945667</v>
      </c>
      <c r="F414" s="237">
        <v>368.76209852383545</v>
      </c>
      <c r="G414" s="237">
        <v>-1852.0609077808044</v>
      </c>
      <c r="H414" s="240">
        <v>0.0013116866060937944</v>
      </c>
      <c r="I414" s="241">
        <v>4.088</v>
      </c>
      <c r="J414" s="242">
        <v>39.769</v>
      </c>
      <c r="K414" s="242">
        <v>169.07</v>
      </c>
      <c r="L414" s="242">
        <v>7.09</v>
      </c>
      <c r="M414" s="242">
        <v>105.11</v>
      </c>
      <c r="N414" s="243">
        <v>1.3360611160594E-4</v>
      </c>
      <c r="O414" s="240">
        <v>-5.443887275793149E-4</v>
      </c>
      <c r="P414" s="240">
        <v>9.467593969288866E-4</v>
      </c>
      <c r="Q414" s="240">
        <v>-4.898721400837374E-4</v>
      </c>
      <c r="R414" s="240">
        <v>0.0012923827320332523</v>
      </c>
    </row>
    <row r="415">
      <c r="A415" s="236">
        <v>42963.0</v>
      </c>
      <c r="B415" s="33">
        <v>-0.02580501629744955</v>
      </c>
      <c r="C415" s="33">
        <v>0.015752287881062484</v>
      </c>
      <c r="D415" s="9">
        <v>-0.010052728416387068</v>
      </c>
      <c r="E415" s="9">
        <v>-0.001479772854131249</v>
      </c>
      <c r="F415" s="237">
        <v>-326.90762770460424</v>
      </c>
      <c r="G415" s="237">
        <v>-2220.82300630464</v>
      </c>
      <c r="H415" s="240">
        <v>0.0019584092247021553</v>
      </c>
      <c r="I415" s="241">
        <v>4.068</v>
      </c>
      <c r="J415" s="242">
        <v>40.189</v>
      </c>
      <c r="K415" s="242">
        <v>169.11</v>
      </c>
      <c r="L415" s="242">
        <v>7.15</v>
      </c>
      <c r="M415" s="242">
        <v>104.56</v>
      </c>
      <c r="N415" s="243">
        <v>-0.001485884101040169</v>
      </c>
      <c r="O415" s="240">
        <v>0.002975941177623244</v>
      </c>
      <c r="P415" s="240">
        <v>0.0010256221953753298</v>
      </c>
      <c r="Q415" s="240">
        <v>0.0011572934108145542</v>
      </c>
      <c r="R415" s="240">
        <v>-4.518217521579033E-4</v>
      </c>
    </row>
    <row r="416">
      <c r="A416" s="236">
        <v>42962.0</v>
      </c>
      <c r="B416" s="33">
        <v>-0.024108729877847415</v>
      </c>
      <c r="C416" s="33">
        <v>0.015535774315591597</v>
      </c>
      <c r="D416" s="9">
        <v>-0.008572955562255818</v>
      </c>
      <c r="E416" s="9">
        <v>0.0037456022942180655</v>
      </c>
      <c r="F416" s="237">
        <v>827.4688624739065</v>
      </c>
      <c r="G416" s="237">
        <v>-1893.9153786000356</v>
      </c>
      <c r="H416" s="240">
        <v>9.492443158600807E-4</v>
      </c>
      <c r="I416" s="241">
        <v>4.087</v>
      </c>
      <c r="J416" s="242">
        <v>40.005</v>
      </c>
      <c r="K416" s="242">
        <v>168.74</v>
      </c>
      <c r="L416" s="242">
        <v>7.1000000000000005</v>
      </c>
      <c r="M416" s="242">
        <v>104.2</v>
      </c>
      <c r="N416" s="243">
        <v>-3.522118906734203E-4</v>
      </c>
      <c r="O416" s="240">
        <v>0.005207361055465002</v>
      </c>
      <c r="P416" s="240">
        <v>-8.109087949760419E-4</v>
      </c>
      <c r="Q416" s="240">
        <v>-0.0011737089201877683</v>
      </c>
      <c r="R416" s="240">
        <v>-0.00207704308260327</v>
      </c>
    </row>
    <row r="417">
      <c r="A417" s="236">
        <v>42961.0</v>
      </c>
      <c r="B417" s="33">
        <v>-0.0278779427713293</v>
      </c>
      <c r="C417" s="33">
        <v>0.015559384914855414</v>
      </c>
      <c r="D417" s="9">
        <v>-0.012318557856473884</v>
      </c>
      <c r="E417" s="9">
        <v>0.003609398234019649</v>
      </c>
      <c r="F417" s="237">
        <v>797.3790104544623</v>
      </c>
      <c r="G417" s="237">
        <v>-2721.384241073942</v>
      </c>
      <c r="H417" s="240">
        <v>-8.869518235943344E-5</v>
      </c>
      <c r="I417" s="241">
        <v>4.087</v>
      </c>
      <c r="J417" s="242">
        <v>39.831</v>
      </c>
      <c r="K417" s="242">
        <v>168.59</v>
      </c>
      <c r="L417" s="242">
        <v>7.1000000000000005</v>
      </c>
      <c r="M417" s="242">
        <v>104.7</v>
      </c>
      <c r="N417" s="243">
        <v>0.001195884654256626</v>
      </c>
      <c r="O417" s="240">
        <v>8.543547013445604E-4</v>
      </c>
      <c r="P417" s="240">
        <v>-4.3720590019317545E-4</v>
      </c>
      <c r="Q417" s="240">
        <v>-0.001875463306152707</v>
      </c>
      <c r="R417" s="240">
        <v>-0.001240549673226729</v>
      </c>
    </row>
    <row r="418">
      <c r="A418" s="236">
        <v>42959.0</v>
      </c>
      <c r="B418" s="33">
        <v>-0.0315347781544796</v>
      </c>
      <c r="C418" s="33">
        <v>0.01560682206398607</v>
      </c>
      <c r="D418" s="9">
        <v>-0.015927956090493533</v>
      </c>
      <c r="E418" s="9">
        <v>-0.004507267580657472</v>
      </c>
      <c r="F418" s="237">
        <v>-995.7340061408609</v>
      </c>
      <c r="G418" s="237">
        <v>-3518.7632515284045</v>
      </c>
      <c r="H418" s="240">
        <v>2.7723338322980265E-4</v>
      </c>
      <c r="I418" s="241">
        <v>4.087</v>
      </c>
      <c r="J418" s="242">
        <v>39.831</v>
      </c>
      <c r="K418" s="242">
        <v>168.59</v>
      </c>
      <c r="L418" s="242">
        <v>7.125</v>
      </c>
      <c r="M418" s="242">
        <v>104.7</v>
      </c>
      <c r="N418" s="243">
        <v>4.889210628815267E-4</v>
      </c>
      <c r="O418" s="240">
        <v>-0.0010504072034173172</v>
      </c>
      <c r="P418" s="240">
        <v>-7.136508185432234E-4</v>
      </c>
      <c r="Q418" s="240">
        <v>-0.005136861762248774</v>
      </c>
      <c r="R418" s="240">
        <v>0.0014872709249906704</v>
      </c>
    </row>
    <row r="419">
      <c r="A419" s="236">
        <v>42958.0</v>
      </c>
      <c r="B419" s="33">
        <v>-0.027051337783080123</v>
      </c>
      <c r="C419" s="33">
        <v>0.015630649273244063</v>
      </c>
      <c r="D419" s="9">
        <v>-0.01142068850983606</v>
      </c>
      <c r="E419" s="9">
        <v>6.317837995595231E-4</v>
      </c>
      <c r="F419" s="237">
        <v>139.5720583463858</v>
      </c>
      <c r="G419" s="237">
        <v>-2523.0292453875436</v>
      </c>
      <c r="H419" s="240">
        <v>0.0034529790861923897</v>
      </c>
      <c r="I419" s="241">
        <v>4.091</v>
      </c>
      <c r="J419" s="242">
        <v>39.382</v>
      </c>
      <c r="K419" s="242">
        <v>169.15</v>
      </c>
      <c r="L419" s="242">
        <v>7.125</v>
      </c>
      <c r="M419" s="242">
        <v>104.85000000000001</v>
      </c>
      <c r="N419" s="243">
        <v>0.0042273763397983645</v>
      </c>
      <c r="O419" s="240">
        <v>-0.007519536724247885</v>
      </c>
      <c r="P419" s="240">
        <v>0.001971948077506248</v>
      </c>
      <c r="Q419" s="240">
        <v>-0.004445776758793323</v>
      </c>
      <c r="R419" s="240">
        <v>0.007273598110268332</v>
      </c>
    </row>
    <row r="420">
      <c r="A420" s="236">
        <v>42957.0</v>
      </c>
      <c r="B420" s="33">
        <v>-0.027707021657981005</v>
      </c>
      <c r="C420" s="33">
        <v>0.01565454934858542</v>
      </c>
      <c r="D420" s="9">
        <v>-0.012052472309395584</v>
      </c>
      <c r="E420" s="9">
        <v>0.004707183930787357</v>
      </c>
      <c r="F420" s="237">
        <v>1039.8990140188384</v>
      </c>
      <c r="G420" s="237">
        <v>-2662.6013037339294</v>
      </c>
      <c r="H420" s="240">
        <v>0.0034059858920229094</v>
      </c>
      <c r="I420" s="241">
        <v>4.072</v>
      </c>
      <c r="J420" s="242">
        <v>39.725</v>
      </c>
      <c r="K420" s="242">
        <v>168.81</v>
      </c>
      <c r="L420" s="242">
        <v>7.140000000000001</v>
      </c>
      <c r="M420" s="242">
        <v>105.09</v>
      </c>
      <c r="N420" s="243">
        <v>0.0016102184307459709</v>
      </c>
      <c r="O420" s="240">
        <v>-0.0017942256810864158</v>
      </c>
      <c r="P420" s="240">
        <v>0.002075050565862413</v>
      </c>
      <c r="Q420" s="240">
        <v>-0.003744022372828384</v>
      </c>
      <c r="R420" s="240">
        <v>0.008069090996036843</v>
      </c>
    </row>
    <row r="421">
      <c r="A421" s="236">
        <v>42956.0</v>
      </c>
      <c r="B421" s="33">
        <v>-0.03243817886495302</v>
      </c>
      <c r="C421" s="33">
        <v>0.015678522624770076</v>
      </c>
      <c r="D421" s="9">
        <v>-0.01675965624018294</v>
      </c>
      <c r="E421" s="9">
        <v>0.0050199695282302885</v>
      </c>
      <c r="F421" s="237">
        <v>1108.9988068382345</v>
      </c>
      <c r="G421" s="237">
        <v>-3702.500317752768</v>
      </c>
      <c r="H421" s="240">
        <v>5.014760541047295E-4</v>
      </c>
      <c r="I421" s="241">
        <v>4.081</v>
      </c>
      <c r="J421" s="242">
        <v>39.952</v>
      </c>
      <c r="K421" s="242">
        <v>168.95000000000002</v>
      </c>
      <c r="L421" s="242">
        <v>7.235</v>
      </c>
      <c r="M421" s="242">
        <v>104.23</v>
      </c>
      <c r="N421" s="243">
        <v>0.0023171820221210703</v>
      </c>
      <c r="O421" s="240">
        <v>1.1053622367546204E-4</v>
      </c>
      <c r="P421" s="240">
        <v>0.002351495484212461</v>
      </c>
      <c r="Q421" s="240">
        <v>0.004615369398653972</v>
      </c>
      <c r="R421" s="240">
        <v>0.005341270397819443</v>
      </c>
    </row>
    <row r="422">
      <c r="A422" s="236">
        <v>42955.0</v>
      </c>
      <c r="B422" s="33">
        <v>-0.03748219520702498</v>
      </c>
      <c r="C422" s="33">
        <v>0.015702569438611754</v>
      </c>
      <c r="D422" s="9">
        <v>-0.02177962576841323</v>
      </c>
      <c r="E422" s="9">
        <v>4.908042170510829E-4</v>
      </c>
      <c r="F422" s="237">
        <v>108.42721017326767</v>
      </c>
      <c r="G422" s="237">
        <v>-4811.499124591002</v>
      </c>
      <c r="H422" s="240">
        <v>6.589722943834026E-4</v>
      </c>
      <c r="I422" s="241">
        <v>4.039</v>
      </c>
      <c r="J422" s="242">
        <v>40.277</v>
      </c>
      <c r="K422" s="242">
        <v>168.15</v>
      </c>
      <c r="L422" s="242">
        <v>7.22</v>
      </c>
      <c r="M422" s="242">
        <v>102.57000000000001</v>
      </c>
      <c r="N422" s="243">
        <v>-7.13846814534405E-4</v>
      </c>
      <c r="O422" s="240">
        <v>0.0017871341454551062</v>
      </c>
      <c r="P422" s="240">
        <v>1.8072346388936972E-5</v>
      </c>
      <c r="Q422" s="240">
        <v>0.003924284395198521</v>
      </c>
      <c r="R422" s="240">
        <v>-5.850265696305685E-4</v>
      </c>
    </row>
    <row r="423">
      <c r="A423" s="236">
        <v>42954.0</v>
      </c>
      <c r="B423" s="33">
        <v>-0.03799712011445796</v>
      </c>
      <c r="C423" s="33">
        <v>0.015726690128993647</v>
      </c>
      <c r="D423" s="9">
        <v>-0.022270429985464312</v>
      </c>
      <c r="E423" s="9">
        <v>-0.004006345582967183</v>
      </c>
      <c r="F423" s="237">
        <v>-885.0716017908894</v>
      </c>
      <c r="G423" s="237">
        <v>-4919.92633476427</v>
      </c>
      <c r="H423" s="240">
        <v>0.002320074323645798</v>
      </c>
      <c r="I423" s="241">
        <v>4.052</v>
      </c>
      <c r="J423" s="242">
        <v>39.936</v>
      </c>
      <c r="K423" s="242">
        <v>167.76</v>
      </c>
      <c r="L423" s="242">
        <v>7.22</v>
      </c>
      <c r="M423" s="242">
        <v>102.56</v>
      </c>
      <c r="N423" s="243">
        <v>-0.001422752878048739</v>
      </c>
      <c r="O423" s="240">
        <v>0.003275212048380407</v>
      </c>
      <c r="P423" s="240">
        <v>0.002179015991718556</v>
      </c>
      <c r="Q423" s="240">
        <v>0.005092235808419706</v>
      </c>
      <c r="R423" s="240">
        <v>-1.957890967706908E-4</v>
      </c>
    </row>
    <row r="424">
      <c r="A424" s="236">
        <v>42952.0</v>
      </c>
      <c r="B424" s="33">
        <v>-0.034039238907851314</v>
      </c>
      <c r="C424" s="33">
        <v>0.015775154505354185</v>
      </c>
      <c r="D424" s="9">
        <v>-0.01826408440249713</v>
      </c>
      <c r="E424" s="9">
        <v>0.005492458249066308</v>
      </c>
      <c r="F424" s="237">
        <v>1213.3798045126155</v>
      </c>
      <c r="G424" s="237">
        <v>-4034.8547329733806</v>
      </c>
      <c r="H424" s="240">
        <v>0.0037019327309287323</v>
      </c>
      <c r="I424" s="241">
        <v>4.052</v>
      </c>
      <c r="J424" s="242">
        <v>39.936</v>
      </c>
      <c r="K424" s="242">
        <v>167.76</v>
      </c>
      <c r="L424" s="242">
        <v>7.135</v>
      </c>
      <c r="M424" s="242">
        <v>102.56</v>
      </c>
      <c r="N424" s="243">
        <v>-5.738564434137565E-4</v>
      </c>
      <c r="O424" s="240">
        <v>0.0029801671172523525</v>
      </c>
      <c r="P424" s="240">
        <v>0.001919005591302549</v>
      </c>
      <c r="Q424" s="240">
        <v>2.3030490595444476E-4</v>
      </c>
      <c r="R424" s="240">
        <v>-0.001397634091248715</v>
      </c>
    </row>
    <row r="425">
      <c r="A425" s="236">
        <v>42951.0</v>
      </c>
      <c r="B425" s="33">
        <v>-0.03955604153115428</v>
      </c>
      <c r="C425" s="33">
        <v>0.015799498879590843</v>
      </c>
      <c r="D425" s="9">
        <v>-0.023756542651563437</v>
      </c>
      <c r="E425" s="9">
        <v>0.00547411030483827</v>
      </c>
      <c r="F425" s="237">
        <v>1209.3264236818359</v>
      </c>
      <c r="G425" s="237">
        <v>-5248.234537485996</v>
      </c>
      <c r="H425" s="240">
        <v>0.0026140450192699504</v>
      </c>
      <c r="I425" s="241">
        <v>4.048</v>
      </c>
      <c r="J425" s="242">
        <v>40.06</v>
      </c>
      <c r="K425" s="242">
        <v>168.14000000000001</v>
      </c>
      <c r="L425" s="242">
        <v>7.135</v>
      </c>
      <c r="M425" s="242">
        <v>102.75</v>
      </c>
      <c r="N425" s="243">
        <v>0.001269510567281949</v>
      </c>
      <c r="O425" s="240">
        <v>0.0019685131810976034</v>
      </c>
      <c r="P425" s="240">
        <v>0.0026140968508568375</v>
      </c>
      <c r="Q425" s="240">
        <v>2.3030490595444476E-4</v>
      </c>
      <c r="R425" s="240">
        <v>-0.0027544111024010182</v>
      </c>
    </row>
    <row r="426">
      <c r="A426" s="236">
        <v>42950.0</v>
      </c>
      <c r="B426" s="33">
        <v>-0.04505457146331804</v>
      </c>
      <c r="C426" s="33">
        <v>0.01582391850691633</v>
      </c>
      <c r="D426" s="9">
        <v>-0.029230652956401707</v>
      </c>
      <c r="E426" s="9">
        <v>1.3922963888161888E-4</v>
      </c>
      <c r="F426" s="237">
        <v>30.758255110497885</v>
      </c>
      <c r="G426" s="237">
        <v>-6457.560961167832</v>
      </c>
      <c r="H426" s="240">
        <v>-0.002480837719966239</v>
      </c>
      <c r="I426" s="241">
        <v>4.069</v>
      </c>
      <c r="J426" s="242">
        <v>39.542</v>
      </c>
      <c r="K426" s="242">
        <v>166.66</v>
      </c>
      <c r="L426" s="242">
        <v>7.11</v>
      </c>
      <c r="M426" s="242">
        <v>102.62</v>
      </c>
      <c r="N426" s="243">
        <v>0.0053320499946331035</v>
      </c>
      <c r="O426" s="240">
        <v>-0.002567705260367954</v>
      </c>
      <c r="P426" s="240">
        <v>-0.001239120411219996</v>
      </c>
      <c r="Q426" s="240">
        <v>-0.004677711958412139</v>
      </c>
      <c r="R426" s="240">
        <v>-0.002371770902242555</v>
      </c>
    </row>
    <row r="427">
      <c r="A427" s="236">
        <v>42949.0</v>
      </c>
      <c r="B427" s="33">
        <v>-0.0462189676339003</v>
      </c>
      <c r="C427" s="33">
        <v>0.016849085038616974</v>
      </c>
      <c r="D427" s="9">
        <v>-0.029369882595283326</v>
      </c>
      <c r="E427" s="9">
        <v>0.002228795114089962</v>
      </c>
      <c r="F427" s="237">
        <v>492.37970635332204</v>
      </c>
      <c r="G427" s="237">
        <v>-6488.31921627833</v>
      </c>
      <c r="H427" s="240">
        <v>-0.001025251434996406</v>
      </c>
      <c r="I427" s="241">
        <v>4.059</v>
      </c>
      <c r="J427" s="242">
        <v>39.577</v>
      </c>
      <c r="K427" s="242">
        <v>166.79</v>
      </c>
      <c r="L427" s="242">
        <v>7.13</v>
      </c>
      <c r="M427" s="242">
        <v>102.99000000000001</v>
      </c>
      <c r="N427" s="243">
        <v>0.004483153559998122</v>
      </c>
      <c r="O427" s="240">
        <v>-0.0022726603292399</v>
      </c>
      <c r="P427" s="240">
        <v>-9.791100108039884E-4</v>
      </c>
      <c r="Q427" s="240">
        <v>-0.0037400654511453983</v>
      </c>
      <c r="R427" s="240">
        <v>-0.001169925907764531</v>
      </c>
    </row>
    <row r="428">
      <c r="A428" s="236">
        <v>42948.0</v>
      </c>
      <c r="B428" s="33">
        <v>-0.04847388536045323</v>
      </c>
      <c r="C428" s="33">
        <v>0.016875207651079947</v>
      </c>
      <c r="D428" s="9">
        <v>-0.03159867770937329</v>
      </c>
      <c r="E428" s="9">
        <v>-0.009810537912870298</v>
      </c>
      <c r="F428" s="237">
        <v>-2167.3189007682986</v>
      </c>
      <c r="G428" s="237">
        <v>-6980.698922631652</v>
      </c>
      <c r="H428" s="240">
        <v>-0.0015364969748770652</v>
      </c>
      <c r="I428" s="241">
        <v>4.032</v>
      </c>
      <c r="J428" s="242">
        <v>39.82</v>
      </c>
      <c r="K428" s="242">
        <v>166.82</v>
      </c>
      <c r="L428" s="242">
        <v>7.13</v>
      </c>
      <c r="M428" s="242">
        <v>103.60000000000001</v>
      </c>
      <c r="N428" s="243">
        <v>0.002284571999714474</v>
      </c>
      <c r="O428" s="240">
        <v>-5.35534313609762E-4</v>
      </c>
      <c r="P428" s="240">
        <v>-0.001835781191299254</v>
      </c>
      <c r="Q428" s="240">
        <v>-0.0037400654511453983</v>
      </c>
      <c r="R428" s="240">
        <v>-6.147501430520224E-4</v>
      </c>
    </row>
    <row r="429">
      <c r="A429" s="236">
        <v>42947.0</v>
      </c>
      <c r="B429" s="33">
        <v>-0.03868955118617156</v>
      </c>
      <c r="C429" s="33">
        <v>0.01690141138966857</v>
      </c>
      <c r="D429" s="9">
        <v>-0.02178813979650299</v>
      </c>
      <c r="E429" s="9">
        <v>0.004505988493791118</v>
      </c>
      <c r="F429" s="237">
        <v>995.4514335474114</v>
      </c>
      <c r="G429" s="237">
        <v>-4813.380021863353</v>
      </c>
      <c r="H429" s="240">
        <v>5.694847879046614E-4</v>
      </c>
      <c r="I429" s="241">
        <v>4.005</v>
      </c>
      <c r="J429" s="242">
        <v>39.847</v>
      </c>
      <c r="K429" s="242">
        <v>167.28</v>
      </c>
      <c r="L429" s="242">
        <v>7.21</v>
      </c>
      <c r="M429" s="242">
        <v>103.35000000000001</v>
      </c>
      <c r="N429" s="243">
        <v>0.001940910071166684</v>
      </c>
      <c r="O429" s="240">
        <v>-0.004881108183843788</v>
      </c>
      <c r="P429" s="240">
        <v>-0.0020294601665323347</v>
      </c>
      <c r="Q429" s="240">
        <v>-0.0020804438280166405</v>
      </c>
      <c r="R429" s="240">
        <v>-9.052678364986725E-4</v>
      </c>
    </row>
    <row r="430">
      <c r="A430" s="236">
        <v>42945.0</v>
      </c>
      <c r="B430" s="33">
        <v>-0.04324819205189311</v>
      </c>
      <c r="C430" s="33">
        <v>0.016954063761599004</v>
      </c>
      <c r="D430" s="9">
        <v>-0.026294128290294108</v>
      </c>
      <c r="E430" s="9">
        <v>6.950584944479844E-4</v>
      </c>
      <c r="F430" s="237">
        <v>153.55054182915228</v>
      </c>
      <c r="G430" s="237">
        <v>-5808.831455410765</v>
      </c>
      <c r="H430" s="240">
        <v>-0.003941274870956011</v>
      </c>
      <c r="I430" s="241">
        <v>4.005</v>
      </c>
      <c r="J430" s="242">
        <v>39.847</v>
      </c>
      <c r="K430" s="242">
        <v>167.28</v>
      </c>
      <c r="L430" s="242">
        <v>7.21</v>
      </c>
      <c r="M430" s="242">
        <v>103.35000000000001</v>
      </c>
      <c r="N430" s="243">
        <v>0.001145537692280173</v>
      </c>
      <c r="O430" s="240">
        <v>-0.005301577625608786</v>
      </c>
      <c r="P430" s="240">
        <v>-0.0032970379046982808</v>
      </c>
      <c r="Q430" s="240">
        <v>-0.003229076954596027</v>
      </c>
      <c r="R430" s="240">
        <v>8.638466412908902E-4</v>
      </c>
    </row>
    <row r="431">
      <c r="A431" s="236">
        <v>42944.0</v>
      </c>
      <c r="B431" s="33">
        <v>-0.04396969994378509</v>
      </c>
      <c r="C431" s="33">
        <v>0.016980513159043</v>
      </c>
      <c r="D431" s="9">
        <v>-0.026989186784742093</v>
      </c>
      <c r="E431" s="9">
        <v>-0.0034925926245251183</v>
      </c>
      <c r="F431" s="237">
        <v>-771.5746144650084</v>
      </c>
      <c r="G431" s="237">
        <v>-5962.381997239917</v>
      </c>
      <c r="H431" s="240">
        <v>-0.006992174099139318</v>
      </c>
      <c r="I431" s="241">
        <v>4.005</v>
      </c>
      <c r="J431" s="242">
        <v>39.884</v>
      </c>
      <c r="K431" s="242">
        <v>167.74</v>
      </c>
      <c r="L431" s="242">
        <v>7.21</v>
      </c>
      <c r="M431" s="242">
        <v>103.79</v>
      </c>
      <c r="N431" s="243">
        <v>3.5205864734044745E-4</v>
      </c>
      <c r="O431" s="240">
        <v>-0.004465077202902114</v>
      </c>
      <c r="P431" s="240">
        <v>-0.002262025865847449</v>
      </c>
      <c r="Q431" s="240">
        <v>6.628644373453634E-4</v>
      </c>
      <c r="R431" s="240">
        <v>0.002056611186571494</v>
      </c>
    </row>
    <row r="432">
      <c r="A432" s="236">
        <v>42943.0</v>
      </c>
      <c r="B432" s="33">
        <v>-0.04050363937107098</v>
      </c>
      <c r="C432" s="33">
        <v>0.017007045210854006</v>
      </c>
      <c r="D432" s="9">
        <v>-0.023496594160216974</v>
      </c>
      <c r="E432" s="9">
        <v>-0.0090262904827909</v>
      </c>
      <c r="F432" s="237">
        <v>-1994.0649677846432</v>
      </c>
      <c r="G432" s="237">
        <v>-5190.807382774909</v>
      </c>
      <c r="H432" s="240">
        <v>-0.00703468193035266</v>
      </c>
      <c r="I432" s="241">
        <v>3.981</v>
      </c>
      <c r="J432" s="242">
        <v>40.431</v>
      </c>
      <c r="K432" s="242">
        <v>168.3</v>
      </c>
      <c r="L432" s="242">
        <v>7.255</v>
      </c>
      <c r="M432" s="242">
        <v>103.63</v>
      </c>
      <c r="N432" s="243">
        <v>-0.006410382799761741</v>
      </c>
      <c r="O432" s="240">
        <v>0.00129410343194059</v>
      </c>
      <c r="P432" s="240">
        <v>-0.0029256017973412936</v>
      </c>
      <c r="Q432" s="240">
        <v>0.004596447019126193</v>
      </c>
      <c r="R432" s="240">
        <v>-2.345938301582653E-4</v>
      </c>
    </row>
    <row r="433">
      <c r="A433" s="236">
        <v>42942.0</v>
      </c>
      <c r="B433" s="33">
        <v>-0.03150396398250676</v>
      </c>
      <c r="C433" s="33">
        <v>0.017033660305080685</v>
      </c>
      <c r="D433" s="9">
        <v>-0.014470303677426074</v>
      </c>
      <c r="E433" s="9">
        <v>-0.008457639190101934</v>
      </c>
      <c r="F433" s="237">
        <v>-1868.4399811083988</v>
      </c>
      <c r="G433" s="237">
        <v>-3196.7424149902654</v>
      </c>
      <c r="H433" s="240">
        <v>-0.003630802798129478</v>
      </c>
      <c r="I433" s="241">
        <v>3.991</v>
      </c>
      <c r="J433" s="242">
        <v>40.482</v>
      </c>
      <c r="K433" s="242">
        <v>168.94</v>
      </c>
      <c r="L433" s="242">
        <v>7.28</v>
      </c>
      <c r="M433" s="242">
        <v>103.08</v>
      </c>
      <c r="N433" s="243">
        <v>-0.00561501042087523</v>
      </c>
      <c r="O433" s="240">
        <v>0.0017145728737055883</v>
      </c>
      <c r="P433" s="240">
        <v>-0.0016580240591753468</v>
      </c>
      <c r="Q433" s="240">
        <v>0.00574508014570558</v>
      </c>
      <c r="R433" s="240">
        <v>-0.002003708307947828</v>
      </c>
    </row>
    <row r="434">
      <c r="A434" s="236">
        <v>42941.0</v>
      </c>
      <c r="B434" s="33">
        <v>-0.02307302331952878</v>
      </c>
      <c r="C434" s="33">
        <v>0.01706035883220464</v>
      </c>
      <c r="D434" s="9">
        <v>-0.00601266448732414</v>
      </c>
      <c r="E434" s="9">
        <v>-0.003620116118165144</v>
      </c>
      <c r="F434" s="237">
        <v>-799.7467779602893</v>
      </c>
      <c r="G434" s="237">
        <v>-1328.3024338818666</v>
      </c>
      <c r="H434" s="240">
        <v>-2.4510231086206462E-5</v>
      </c>
      <c r="I434" s="241">
        <v>4.0</v>
      </c>
      <c r="J434" s="242">
        <v>40.418</v>
      </c>
      <c r="K434" s="242">
        <v>168.88</v>
      </c>
      <c r="L434" s="242">
        <v>7.195</v>
      </c>
      <c r="M434" s="242">
        <v>103.15</v>
      </c>
      <c r="N434" s="243">
        <v>-0.0056727763216686475</v>
      </c>
      <c r="O434" s="240">
        <v>0.0014276122002192337</v>
      </c>
      <c r="P434" s="240">
        <v>-0.0018549422881939089</v>
      </c>
      <c r="Q434" s="240">
        <v>0.0018531387537641898</v>
      </c>
      <c r="R434" s="240">
        <v>-4.157062807638E-5</v>
      </c>
    </row>
    <row r="435">
      <c r="A435" s="236">
        <v>42940.0</v>
      </c>
      <c r="B435" s="33">
        <v>-0.019452907201363636</v>
      </c>
      <c r="C435" s="33">
        <v>0.01706035883220464</v>
      </c>
      <c r="D435" s="9">
        <v>-0.0023925483691589963</v>
      </c>
      <c r="E435" s="9">
        <v>0.0011853469138786432</v>
      </c>
      <c r="F435" s="237">
        <v>261.8638033136074</v>
      </c>
      <c r="G435" s="237">
        <v>-528.5556559215773</v>
      </c>
      <c r="H435" s="240">
        <v>-0.004128827910758748</v>
      </c>
      <c r="I435" s="241">
        <v>4.058</v>
      </c>
      <c r="J435" s="242">
        <v>40.274</v>
      </c>
      <c r="K435" s="242">
        <v>169.78</v>
      </c>
      <c r="L435" s="242">
        <v>7.155</v>
      </c>
      <c r="M435" s="242">
        <v>103.7</v>
      </c>
      <c r="N435" s="243">
        <v>-7.292470233118045E-5</v>
      </c>
      <c r="O435" s="240">
        <v>-3.728900646754083E-4</v>
      </c>
      <c r="P435" s="240">
        <v>-9.816162988346628E-5</v>
      </c>
      <c r="Q435" s="240">
        <v>-0.002795248078266928</v>
      </c>
      <c r="R435" s="240">
        <v>0.002640519718334284</v>
      </c>
    </row>
    <row r="436">
      <c r="A436" s="236">
        <v>42938.0</v>
      </c>
      <c r="B436" s="33">
        <v>-0.02071885423570939</v>
      </c>
      <c r="C436" s="33">
        <v>0.017140958952671752</v>
      </c>
      <c r="D436" s="9">
        <v>-0.0035778952830376395</v>
      </c>
      <c r="E436" s="9">
        <v>0.0023612385110278813</v>
      </c>
      <c r="F436" s="237">
        <v>521.6387622802087</v>
      </c>
      <c r="G436" s="237">
        <v>-790.4194592351847</v>
      </c>
      <c r="H436" s="240">
        <v>-0.00226177047940308</v>
      </c>
      <c r="I436" s="241">
        <v>4.058</v>
      </c>
      <c r="J436" s="242">
        <v>40.274</v>
      </c>
      <c r="K436" s="242">
        <v>169.78</v>
      </c>
      <c r="L436" s="242">
        <v>7.155</v>
      </c>
      <c r="M436" s="242">
        <v>103.7</v>
      </c>
      <c r="N436" s="243">
        <v>0.001700124943058919</v>
      </c>
      <c r="O436" s="240">
        <v>-0.0035889089804884305</v>
      </c>
      <c r="P436" s="240">
        <v>-0.003179674515317907</v>
      </c>
      <c r="Q436" s="240">
        <v>-0.007415252698271572</v>
      </c>
      <c r="R436" s="240">
        <v>4.697058251253621E-4</v>
      </c>
    </row>
    <row r="437">
      <c r="A437" s="236">
        <v>42937.0</v>
      </c>
      <c r="B437" s="33">
        <v>-0.02289786917049772</v>
      </c>
      <c r="C437" s="33">
        <v>0.0169587353764322</v>
      </c>
      <c r="D437" s="9">
        <v>-0.005939133794065521</v>
      </c>
      <c r="E437" s="9">
        <v>-0.015933069157182768</v>
      </c>
      <c r="F437" s="237">
        <v>-3519.892817121534</v>
      </c>
      <c r="G437" s="237">
        <v>-1312.0582215153934</v>
      </c>
      <c r="H437" s="240">
        <v>-1.803711308360443E-4</v>
      </c>
      <c r="I437" s="241">
        <v>4.068</v>
      </c>
      <c r="J437" s="242">
        <v>40.245</v>
      </c>
      <c r="K437" s="242">
        <v>169.82</v>
      </c>
      <c r="L437" s="242">
        <v>7.155</v>
      </c>
      <c r="M437" s="242">
        <v>103.16</v>
      </c>
      <c r="N437" s="243">
        <v>0.003121779870966706</v>
      </c>
      <c r="O437" s="240">
        <v>-7.582819891617602E-4</v>
      </c>
      <c r="P437" s="240">
        <v>-0.0014480882251643272</v>
      </c>
      <c r="Q437" s="240">
        <v>-0.004681144701005657</v>
      </c>
      <c r="R437" s="240">
        <v>8.593341026932241E-5</v>
      </c>
    </row>
    <row r="438">
      <c r="A438" s="236">
        <v>42936.0</v>
      </c>
      <c r="B438" s="33">
        <v>-0.006964800013314953</v>
      </c>
      <c r="C438" s="33">
        <v>0.0169587353764322</v>
      </c>
      <c r="D438" s="9">
        <v>0.009993935363117247</v>
      </c>
      <c r="E438" s="9">
        <v>0.006786519207945646</v>
      </c>
      <c r="F438" s="237">
        <v>1499.2604361185718</v>
      </c>
      <c r="G438" s="237">
        <v>2207.8345956061403</v>
      </c>
      <c r="H438" s="240">
        <v>0.0030895579866623292</v>
      </c>
      <c r="I438" s="241">
        <v>4.059</v>
      </c>
      <c r="J438" s="242">
        <v>40.319</v>
      </c>
      <c r="K438" s="242">
        <v>169.83</v>
      </c>
      <c r="L438" s="242">
        <v>7.215</v>
      </c>
      <c r="M438" s="242">
        <v>102.88</v>
      </c>
      <c r="N438" s="243">
        <v>0.005271821887403306</v>
      </c>
      <c r="O438" s="240">
        <v>-0.0037900276323458736</v>
      </c>
      <c r="P438" s="240">
        <v>-0.0032265637715498965</v>
      </c>
      <c r="Q438" s="240">
        <v>-0.004183162875897463</v>
      </c>
      <c r="R438" s="240">
        <v>-0.0018531033171308962</v>
      </c>
    </row>
    <row r="439">
      <c r="A439" s="236">
        <v>42935.0</v>
      </c>
      <c r="B439" s="33">
        <v>-0.0137513192212606</v>
      </c>
      <c r="C439" s="33">
        <v>0.0169587353764322</v>
      </c>
      <c r="D439" s="9">
        <v>0.0032074161551716007</v>
      </c>
      <c r="E439" s="9">
        <v>0.008605436556728989</v>
      </c>
      <c r="F439" s="237">
        <v>1901.0909966815989</v>
      </c>
      <c r="G439" s="237">
        <v>708.5741594875686</v>
      </c>
      <c r="H439" s="240">
        <v>0.001886600460554692</v>
      </c>
      <c r="I439" s="241">
        <v>4.037</v>
      </c>
      <c r="J439" s="242">
        <v>40.708</v>
      </c>
      <c r="K439" s="242">
        <v>171.4</v>
      </c>
      <c r="L439" s="242">
        <v>7.315</v>
      </c>
      <c r="M439" s="242">
        <v>103.55</v>
      </c>
      <c r="N439" s="243">
        <v>0.0034987722420132057</v>
      </c>
      <c r="O439" s="240">
        <v>-5.740087165328513E-4</v>
      </c>
      <c r="P439" s="240">
        <v>-1.4505088611545635E-4</v>
      </c>
      <c r="Q439" s="240">
        <v>4.3684174410718157E-4</v>
      </c>
      <c r="R439" s="240">
        <v>3.1771057607802585E-4</v>
      </c>
    </row>
    <row r="440">
      <c r="A440" s="236">
        <v>42934.0</v>
      </c>
      <c r="B440" s="33">
        <v>-0.02235675577798959</v>
      </c>
      <c r="C440" s="33">
        <v>0.0169587353764322</v>
      </c>
      <c r="D440" s="9">
        <v>-0.005398020401557388</v>
      </c>
      <c r="E440" s="9">
        <v>-0.006123281804687648</v>
      </c>
      <c r="F440" s="237">
        <v>-1352.7397282283569</v>
      </c>
      <c r="G440" s="237">
        <v>-1192.5168371940301</v>
      </c>
      <c r="H440" s="240">
        <v>-0.0015608216853193375</v>
      </c>
      <c r="I440" s="241">
        <v>4.03</v>
      </c>
      <c r="J440" s="242">
        <v>40.333</v>
      </c>
      <c r="K440" s="242">
        <v>170.55</v>
      </c>
      <c r="L440" s="242">
        <v>7.255</v>
      </c>
      <c r="M440" s="242">
        <v>103.13</v>
      </c>
      <c r="N440" s="243">
        <v>0.003072475244418535</v>
      </c>
      <c r="O440" s="240">
        <v>-0.002565539173864739</v>
      </c>
      <c r="P440" s="240">
        <v>-0.0019925016378313774</v>
      </c>
      <c r="Q440" s="240">
        <v>-0.0011564950918537152</v>
      </c>
      <c r="R440" s="240">
        <v>4.156825469459541E-4</v>
      </c>
    </row>
    <row r="441">
      <c r="A441" s="236">
        <v>42933.0</v>
      </c>
      <c r="B441" s="33">
        <v>-0.01623347397330194</v>
      </c>
      <c r="C441" s="33">
        <v>0.0169587353764322</v>
      </c>
      <c r="D441" s="9">
        <v>7.252614031302597E-4</v>
      </c>
      <c r="E441" s="9">
        <v>0.003177646629622735</v>
      </c>
      <c r="F441" s="237">
        <v>701.9975521738843</v>
      </c>
      <c r="G441" s="237">
        <v>160.2228910343267</v>
      </c>
      <c r="H441" s="240">
        <v>-0.0019004076227897182</v>
      </c>
      <c r="I441" s="241">
        <v>3.995</v>
      </c>
      <c r="J441" s="242">
        <v>40.774</v>
      </c>
      <c r="K441" s="242">
        <v>171.47</v>
      </c>
      <c r="L441" s="242">
        <v>7.305</v>
      </c>
      <c r="M441" s="242">
        <v>103.45</v>
      </c>
      <c r="N441" s="243">
        <v>-2.884129669771238E-4</v>
      </c>
      <c r="O441" s="240">
        <v>-3.233709884880675E-4</v>
      </c>
      <c r="P441" s="240">
        <v>-0.0010881046011142574</v>
      </c>
      <c r="Q441" s="240">
        <v>2.250202455541217E-4</v>
      </c>
      <c r="R441" s="240">
        <v>0.002356124701050033</v>
      </c>
    </row>
    <row r="442">
      <c r="A442" s="236">
        <v>42931.0</v>
      </c>
      <c r="B442" s="33">
        <v>-0.019411120602924676</v>
      </c>
      <c r="C442" s="33">
        <v>0.0169587353764322</v>
      </c>
      <c r="D442" s="9">
        <v>-0.0024523852264924755</v>
      </c>
      <c r="E442" s="9">
        <v>-0.0017368298808931003</v>
      </c>
      <c r="F442" s="237">
        <v>-383.6960074676933</v>
      </c>
      <c r="G442" s="237">
        <v>-541.7746611395576</v>
      </c>
      <c r="H442" s="240">
        <v>0.00260068279591651</v>
      </c>
      <c r="I442" s="241">
        <v>3.995</v>
      </c>
      <c r="J442" s="242">
        <v>40.774</v>
      </c>
      <c r="K442" s="242">
        <v>171.47</v>
      </c>
      <c r="L442" s="242">
        <v>7.305</v>
      </c>
      <c r="M442" s="242">
        <v>103.45</v>
      </c>
      <c r="N442" s="243">
        <v>-7.203784097417066E-4</v>
      </c>
      <c r="O442" s="240">
        <v>0.0011875854877981015</v>
      </c>
      <c r="P442" s="240">
        <v>-0.0012624927892209896</v>
      </c>
      <c r="Q442" s="240">
        <v>2.250202455541217E-4</v>
      </c>
      <c r="R442" s="240">
        <v>0.0021289699762317327</v>
      </c>
    </row>
    <row r="443">
      <c r="A443" s="236">
        <v>42930.0</v>
      </c>
      <c r="B443" s="33">
        <v>-0.017674290722031576</v>
      </c>
      <c r="C443" s="33">
        <v>0.0169587353764322</v>
      </c>
      <c r="D443" s="9">
        <v>-7.155553455993752E-4</v>
      </c>
      <c r="E443" s="9">
        <v>-0.00714203961709879</v>
      </c>
      <c r="F443" s="237">
        <v>-1577.8010940528982</v>
      </c>
      <c r="G443" s="237">
        <v>-158.0786536718643</v>
      </c>
      <c r="H443" s="240">
        <v>0.0014926777936927684</v>
      </c>
      <c r="I443" s="241">
        <v>3.993</v>
      </c>
      <c r="J443" s="242">
        <v>40.642</v>
      </c>
      <c r="K443" s="242">
        <v>171.57</v>
      </c>
      <c r="L443" s="242">
        <v>7.28</v>
      </c>
      <c r="M443" s="242">
        <v>103.0</v>
      </c>
      <c r="N443" s="243">
        <v>6.454309525290302E-4</v>
      </c>
      <c r="O443" s="240">
        <v>0.003644615566744847</v>
      </c>
      <c r="P443" s="240">
        <v>7.136073638831297E-4</v>
      </c>
      <c r="Q443" s="240">
        <v>-9.157509157508961E-4</v>
      </c>
      <c r="R443" s="240">
        <v>0.0027868515864752723</v>
      </c>
    </row>
    <row r="444">
      <c r="A444" s="236">
        <v>42929.0</v>
      </c>
      <c r="B444" s="33">
        <v>-0.010532251104932786</v>
      </c>
      <c r="C444" s="33">
        <v>0.0169587353764322</v>
      </c>
      <c r="D444" s="9">
        <v>0.006426484271499415</v>
      </c>
      <c r="E444" s="9">
        <v>0.01668091788574142</v>
      </c>
      <c r="F444" s="237">
        <v>3685.10564221998</v>
      </c>
      <c r="G444" s="237">
        <v>1419.722440381034</v>
      </c>
      <c r="H444" s="240">
        <v>0.0039533467694551115</v>
      </c>
      <c r="I444" s="241">
        <v>3.998</v>
      </c>
      <c r="J444" s="242">
        <v>40.813</v>
      </c>
      <c r="K444" s="242">
        <v>172.03</v>
      </c>
      <c r="L444" s="242">
        <v>7.3</v>
      </c>
      <c r="M444" s="242">
        <v>102.72</v>
      </c>
      <c r="N444" s="243">
        <v>0.0012946416278131069</v>
      </c>
      <c r="O444" s="240">
        <v>0.0026339901950617087</v>
      </c>
      <c r="P444" s="240">
        <v>4.975014158282062E-4</v>
      </c>
      <c r="Q444" s="240">
        <v>0.0</v>
      </c>
      <c r="R444" s="240">
        <v>9.669242451714007E-4</v>
      </c>
    </row>
    <row r="445">
      <c r="A445" s="236">
        <v>42928.0</v>
      </c>
      <c r="B445" s="33">
        <v>-0.02721316899067421</v>
      </c>
      <c r="C445" s="33">
        <v>0.0169587353764322</v>
      </c>
      <c r="D445" s="9">
        <v>-0.010254433614242008</v>
      </c>
      <c r="E445" s="9">
        <v>-0.005060844887564326</v>
      </c>
      <c r="F445" s="237">
        <v>-1118.0288864982026</v>
      </c>
      <c r="G445" s="237">
        <v>-2265.3832018389458</v>
      </c>
      <c r="H445" s="240">
        <v>-0.0012762324814297825</v>
      </c>
      <c r="I445" s="241">
        <v>4.004</v>
      </c>
      <c r="J445" s="242">
        <v>40.628</v>
      </c>
      <c r="K445" s="242">
        <v>172.12</v>
      </c>
      <c r="L445" s="242">
        <v>7.3</v>
      </c>
      <c r="M445" s="242">
        <v>102.79</v>
      </c>
      <c r="N445" s="243">
        <v>0.00172660707057769</v>
      </c>
      <c r="O445" s="240">
        <v>0.0011230337187755398</v>
      </c>
      <c r="P445" s="240">
        <v>6.718896039349386E-4</v>
      </c>
      <c r="Q445" s="240">
        <v>0.0</v>
      </c>
      <c r="R445" s="240">
        <v>0.001194078969989701</v>
      </c>
    </row>
    <row r="446">
      <c r="A446" s="236">
        <v>42927.0</v>
      </c>
      <c r="B446" s="33">
        <v>-0.022181104127751584</v>
      </c>
      <c r="C446" s="33">
        <v>0.0169875154010739</v>
      </c>
      <c r="D446" s="9">
        <v>-0.005193588726677682</v>
      </c>
      <c r="E446" s="9">
        <v>2.3996731018824033E-4</v>
      </c>
      <c r="F446" s="237">
        <v>53.01296336210157</v>
      </c>
      <c r="G446" s="237">
        <v>-1147.3543153407431</v>
      </c>
      <c r="H446" s="240">
        <v>5.940537824455349E-4</v>
      </c>
      <c r="I446" s="241">
        <v>3.986</v>
      </c>
      <c r="J446" s="242">
        <v>40.197</v>
      </c>
      <c r="K446" s="242">
        <v>171.20000000000002</v>
      </c>
      <c r="L446" s="242">
        <v>7.3</v>
      </c>
      <c r="M446" s="242">
        <v>102.14</v>
      </c>
      <c r="N446" s="243">
        <v>2.1668472372697925E-4</v>
      </c>
      <c r="O446" s="240">
        <v>-0.002413115406622358</v>
      </c>
      <c r="P446" s="240">
        <v>-0.0011098130841121362</v>
      </c>
      <c r="Q446" s="240">
        <v>0.0</v>
      </c>
      <c r="R446" s="240">
        <v>-9.137784739899521E-4</v>
      </c>
    </row>
    <row r="447">
      <c r="A447" s="236">
        <v>42926.0</v>
      </c>
      <c r="B447" s="33">
        <v>-0.02244994385431392</v>
      </c>
      <c r="C447" s="33">
        <v>0.017016387817448</v>
      </c>
      <c r="D447" s="9">
        <v>-0.005433556036865923</v>
      </c>
      <c r="E447" s="9">
        <v>9.921801330867383E-4</v>
      </c>
      <c r="F447" s="237">
        <v>219.18989300114276</v>
      </c>
      <c r="G447" s="237">
        <v>-1200.3672787028447</v>
      </c>
      <c r="H447" s="240">
        <v>-9.647491512934879E-5</v>
      </c>
      <c r="I447" s="241">
        <v>3.983</v>
      </c>
      <c r="J447" s="242">
        <v>40.488</v>
      </c>
      <c r="K447" s="242">
        <v>171.77</v>
      </c>
      <c r="L447" s="242">
        <v>7.3</v>
      </c>
      <c r="M447" s="242">
        <v>102.42</v>
      </c>
      <c r="N447" s="243">
        <v>0.0013732292570106848</v>
      </c>
      <c r="O447" s="240">
        <v>8.562207732332149E-4</v>
      </c>
      <c r="P447" s="240">
        <v>6.792028099590427E-4</v>
      </c>
      <c r="Q447" s="240">
        <v>0.002054794520547942</v>
      </c>
      <c r="R447" s="240">
        <v>0.001008917529128433</v>
      </c>
    </row>
    <row r="448">
      <c r="A448" s="236">
        <v>42925.0</v>
      </c>
      <c r="B448" s="33">
        <v>-0.02347108924112646</v>
      </c>
      <c r="C448" s="33">
        <v>0.0170453530711738</v>
      </c>
      <c r="D448" s="9">
        <v>-0.006425736169952661</v>
      </c>
      <c r="E448" s="9">
        <v>5.500139040616261E-4</v>
      </c>
      <c r="F448" s="237">
        <v>121.50766253033726</v>
      </c>
      <c r="G448" s="237">
        <v>-1419.5571717039875</v>
      </c>
      <c r="H448" s="240">
        <v>-0.007291418178758754</v>
      </c>
      <c r="I448" s="241">
        <v>3.983</v>
      </c>
      <c r="J448" s="242">
        <v>40.488</v>
      </c>
      <c r="K448" s="242">
        <v>171.77</v>
      </c>
      <c r="L448" s="242">
        <v>7.3</v>
      </c>
      <c r="M448" s="242">
        <v>102.42</v>
      </c>
      <c r="N448" s="243">
        <v>-7.31422749666112E-4</v>
      </c>
      <c r="O448" s="240">
        <v>0.0013927368852247439</v>
      </c>
      <c r="P448" s="240">
        <v>0.001009774894118837</v>
      </c>
      <c r="Q448" s="240">
        <v>-1.274510729492185E-5</v>
      </c>
      <c r="R448" s="240">
        <v>-0.0023534694391737286</v>
      </c>
    </row>
    <row r="449">
      <c r="A449" s="236">
        <v>42924.0</v>
      </c>
      <c r="B449" s="33">
        <v>-0.023508884875975286</v>
      </c>
      <c r="C449" s="33">
        <v>0.016533134801961</v>
      </c>
      <c r="D449" s="9">
        <v>-0.006975750074014287</v>
      </c>
      <c r="E449" s="9">
        <v>-0.0018316187825364108</v>
      </c>
      <c r="F449" s="237">
        <v>-404.6365287662352</v>
      </c>
      <c r="G449" s="237">
        <v>-1541.0648342343247</v>
      </c>
      <c r="H449" s="240">
        <v>-0.006904478117138381</v>
      </c>
      <c r="I449" s="241">
        <v>3.983</v>
      </c>
      <c r="J449" s="242">
        <v>40.488</v>
      </c>
      <c r="K449" s="242">
        <v>171.77</v>
      </c>
      <c r="L449" s="242">
        <v>7.3</v>
      </c>
      <c r="M449" s="242">
        <v>102.42</v>
      </c>
      <c r="N449" s="243">
        <v>-0.00376041452811699</v>
      </c>
      <c r="O449" s="240">
        <v>-0.0017158058200341306</v>
      </c>
      <c r="P449" s="240">
        <v>-0.002162974497608648</v>
      </c>
      <c r="Q449" s="240">
        <v>-6.976766141442628E-4</v>
      </c>
      <c r="R449" s="240">
        <v>-0.004001714542916231</v>
      </c>
    </row>
    <row r="450">
      <c r="A450" s="236">
        <v>42923.0</v>
      </c>
      <c r="B450" s="33">
        <v>-0.021107158246345275</v>
      </c>
      <c r="C450" s="33">
        <v>0.0159630269548674</v>
      </c>
      <c r="D450" s="9">
        <v>-0.005144131291477876</v>
      </c>
      <c r="E450" s="9">
        <v>-0.020592649657801478</v>
      </c>
      <c r="F450" s="237">
        <v>-4549.275403309175</v>
      </c>
      <c r="G450" s="237">
        <v>-1136.4283054680895</v>
      </c>
      <c r="H450" s="240">
        <v>-0.0063751662829175494</v>
      </c>
      <c r="I450" s="241">
        <v>3.967</v>
      </c>
      <c r="J450" s="242">
        <v>40.384</v>
      </c>
      <c r="K450" s="242">
        <v>171.42000000000002</v>
      </c>
      <c r="L450" s="242">
        <v>7.255</v>
      </c>
      <c r="M450" s="242">
        <v>102.11</v>
      </c>
      <c r="N450" s="243">
        <v>-0.004133072029838977</v>
      </c>
      <c r="O450" s="240">
        <v>-0.0022280039860674305</v>
      </c>
      <c r="P450" s="240">
        <v>-0.002205897807336347</v>
      </c>
      <c r="Q450" s="240">
        <v>-0.006170106131274579</v>
      </c>
      <c r="R450" s="240">
        <v>-0.004721196471465782</v>
      </c>
    </row>
    <row r="451">
      <c r="A451" s="236">
        <v>42922.0</v>
      </c>
      <c r="B451" s="33">
        <v>-7.092084828310034E-5</v>
      </c>
      <c r="C451" s="33">
        <v>0.0155194392146067</v>
      </c>
      <c r="D451" s="9">
        <v>0.0154485183663236</v>
      </c>
      <c r="E451" s="9">
        <v>0.0017108340889227455</v>
      </c>
      <c r="F451" s="237">
        <v>377.95308370773546</v>
      </c>
      <c r="G451" s="237">
        <v>3412.847097841086</v>
      </c>
      <c r="H451" s="240">
        <v>9.461579042921251E-4</v>
      </c>
      <c r="I451" s="241">
        <v>3.992</v>
      </c>
      <c r="J451" s="242">
        <v>40.319</v>
      </c>
      <c r="K451" s="242">
        <v>171.25</v>
      </c>
      <c r="L451" s="242">
        <v>7.3</v>
      </c>
      <c r="M451" s="242">
        <v>103.14</v>
      </c>
      <c r="N451" s="243">
        <v>-0.0019567354353485487</v>
      </c>
      <c r="O451" s="240">
        <v>-0.003477874586042653</v>
      </c>
      <c r="P451" s="240">
        <v>-0.002130790378311542</v>
      </c>
      <c r="Q451" s="240">
        <v>-0.004553626494410505</v>
      </c>
      <c r="R451" s="240">
        <v>-6.828728480844593E-4</v>
      </c>
    </row>
    <row r="452">
      <c r="A452" s="236">
        <v>42921.0</v>
      </c>
      <c r="B452" s="33">
        <v>-0.0012764625491132585</v>
      </c>
      <c r="C452" s="33">
        <v>0.015014146826514113</v>
      </c>
      <c r="D452" s="9">
        <v>0.013737684277400854</v>
      </c>
      <c r="E452" s="9">
        <v>-2.4368327987391893E-4</v>
      </c>
      <c r="F452" s="237">
        <v>-53.83388586461706</v>
      </c>
      <c r="G452" s="237">
        <v>3034.8940141333505</v>
      </c>
      <c r="H452" s="240">
        <v>0.001432536202700849</v>
      </c>
      <c r="I452" s="241">
        <v>4.028</v>
      </c>
      <c r="J452" s="242">
        <v>40.695</v>
      </c>
      <c r="K452" s="242">
        <v>172.88</v>
      </c>
      <c r="L452" s="242">
        <v>7.315</v>
      </c>
      <c r="M452" s="242">
        <v>103.65</v>
      </c>
      <c r="N452" s="243">
        <v>0.00107225634310233</v>
      </c>
      <c r="O452" s="240">
        <v>-3.693318807837789E-4</v>
      </c>
      <c r="P452" s="240">
        <v>0.0010419590134159431</v>
      </c>
      <c r="Q452" s="240">
        <v>-0.0038686949875611637</v>
      </c>
      <c r="R452" s="240">
        <v>9.653722556580432E-4</v>
      </c>
    </row>
    <row r="453">
      <c r="A453" s="236">
        <v>42920.0</v>
      </c>
      <c r="B453" s="33">
        <v>-0.0010571133807896057</v>
      </c>
      <c r="C453" s="33">
        <v>0.01503848093806438</v>
      </c>
      <c r="D453" s="9">
        <v>0.013981367557274773</v>
      </c>
      <c r="E453" s="9">
        <v>0.0013713229038275487</v>
      </c>
      <c r="F453" s="237">
        <v>302.9491425360957</v>
      </c>
      <c r="G453" s="237">
        <v>3088.7278999979676</v>
      </c>
      <c r="H453" s="240">
        <v>-0.0040761497544552225</v>
      </c>
      <c r="I453" s="241">
        <v>4.016</v>
      </c>
      <c r="J453" s="242">
        <v>40.653</v>
      </c>
      <c r="K453" s="242">
        <v>172.55</v>
      </c>
      <c r="L453" s="242">
        <v>7.390000000000001</v>
      </c>
      <c r="M453" s="242">
        <v>103.56</v>
      </c>
      <c r="N453" s="243">
        <v>-0.0022227156416263624</v>
      </c>
      <c r="O453" s="240">
        <v>0.0026903437610754123</v>
      </c>
      <c r="P453" s="240">
        <v>-4.943292199650635E-7</v>
      </c>
      <c r="Q453" s="240">
        <v>0.006981372441453644</v>
      </c>
      <c r="R453" s="240">
        <v>-0.00364594691208739</v>
      </c>
    </row>
    <row r="454">
      <c r="A454" s="236">
        <v>42919.0</v>
      </c>
      <c r="B454" s="33">
        <v>-0.002389955346552775</v>
      </c>
      <c r="C454" s="33">
        <v>0.015</v>
      </c>
      <c r="D454" s="9">
        <v>0.012610044653447224</v>
      </c>
      <c r="E454" s="9">
        <v>0.0031699689841489173</v>
      </c>
      <c r="F454" s="237">
        <v>700.3014264062062</v>
      </c>
      <c r="G454" s="237">
        <v>2785.778757461872</v>
      </c>
      <c r="H454" s="240">
        <v>-0.007984743230203883</v>
      </c>
      <c r="I454" s="241">
        <v>4.015</v>
      </c>
      <c r="J454" s="242">
        <v>40.74</v>
      </c>
      <c r="K454" s="242">
        <v>172.34</v>
      </c>
      <c r="L454" s="242">
        <v>7.4</v>
      </c>
      <c r="M454" s="242">
        <v>103.35000000000001</v>
      </c>
      <c r="N454" s="243">
        <v>-0.0027216593621040334</v>
      </c>
      <c r="O454" s="240">
        <v>0.0038914144147833844</v>
      </c>
      <c r="P454" s="240">
        <v>-7.925352835327181E-4</v>
      </c>
      <c r="Q454" s="240">
        <v>0.009736049110617177</v>
      </c>
      <c r="R454" s="240">
        <v>-0.004194523424523216</v>
      </c>
    </row>
    <row r="455">
      <c r="A455" s="236">
        <v>42917.0</v>
      </c>
      <c r="B455" s="33">
        <v>-0.005131988192065793</v>
      </c>
      <c r="C455" s="33">
        <v>0.0145720638613641</v>
      </c>
      <c r="D455" s="9">
        <v>0.009440075669298307</v>
      </c>
      <c r="E455" s="9">
        <v>-0.016769741151342134</v>
      </c>
      <c r="F455" s="237">
        <v>-3704.7282504881605</v>
      </c>
      <c r="G455" s="237">
        <v>2085.4773310556657</v>
      </c>
      <c r="H455" s="240">
        <v>-0.007743164843704588</v>
      </c>
      <c r="I455" s="241">
        <v>4.015</v>
      </c>
      <c r="J455" s="242">
        <v>40.74</v>
      </c>
      <c r="K455" s="242">
        <v>172.34</v>
      </c>
      <c r="L455" s="242">
        <v>7.4</v>
      </c>
      <c r="M455" s="242">
        <v>103.35000000000001</v>
      </c>
      <c r="N455" s="243">
        <v>-0.005922000731850133</v>
      </c>
      <c r="O455" s="240">
        <v>5.248912103983141E-7</v>
      </c>
      <c r="P455" s="240">
        <v>-0.00347463851556362</v>
      </c>
      <c r="Q455" s="240">
        <v>0.010431943334695144</v>
      </c>
      <c r="R455" s="240">
        <v>-0.007793822675996366</v>
      </c>
    </row>
    <row r="456">
      <c r="A456" s="236">
        <v>42916.0</v>
      </c>
      <c r="B456" s="33">
        <v>0.012234291348430936</v>
      </c>
      <c r="C456" s="33">
        <v>0.013975525472209505</v>
      </c>
      <c r="D456" s="9">
        <v>0.02620981682064044</v>
      </c>
      <c r="E456" s="9">
        <v>-0.010354457523418431</v>
      </c>
      <c r="F456" s="237">
        <v>-2287.480227589429</v>
      </c>
      <c r="G456" s="237">
        <v>5790.205581543826</v>
      </c>
      <c r="H456" s="240">
        <v>-0.008264575083142822</v>
      </c>
      <c r="I456" s="241">
        <v>4.043</v>
      </c>
      <c r="J456" s="242">
        <v>40.324</v>
      </c>
      <c r="K456" s="242">
        <v>172.55</v>
      </c>
      <c r="L456" s="242">
        <v>7.235</v>
      </c>
      <c r="M456" s="242">
        <v>104.69</v>
      </c>
      <c r="N456" s="243">
        <v>-0.00567042946831596</v>
      </c>
      <c r="O456" s="240">
        <v>-0.005211610001193936</v>
      </c>
      <c r="P456" s="240">
        <v>-0.0050400584099991475</v>
      </c>
      <c r="Q456" s="240">
        <v>0.0016048107627926829</v>
      </c>
      <c r="R456" s="240">
        <v>-0.00425973768448999</v>
      </c>
    </row>
    <row r="457">
      <c r="A457" s="236">
        <v>42915.0</v>
      </c>
      <c r="B457" s="33">
        <v>0.022972595973944365</v>
      </c>
      <c r="C457" s="33">
        <v>0.013591678370114504</v>
      </c>
      <c r="D457" s="9">
        <v>0.03656427434405887</v>
      </c>
      <c r="E457" s="9">
        <v>0.0038947041436468016</v>
      </c>
      <c r="F457" s="237">
        <v>860.408061045523</v>
      </c>
      <c r="G457" s="237">
        <v>8077.685809133255</v>
      </c>
      <c r="H457" s="240">
        <v>-0.006149467407596971</v>
      </c>
      <c r="I457" s="241">
        <v>4.048</v>
      </c>
      <c r="J457" s="242">
        <v>40.265</v>
      </c>
      <c r="K457" s="242">
        <v>172.75</v>
      </c>
      <c r="L457" s="242">
        <v>7.1850000000000005</v>
      </c>
      <c r="M457" s="242">
        <v>104.65</v>
      </c>
      <c r="N457" s="243">
        <v>-0.0081137157392787</v>
      </c>
      <c r="O457" s="240">
        <v>-0.008751382031748765</v>
      </c>
      <c r="P457" s="240">
        <v>-0.009468067770568396</v>
      </c>
      <c r="Q457" s="240">
        <v>-6.988059153920589E-4</v>
      </c>
      <c r="R457" s="240">
        <v>-0.006682045797833454</v>
      </c>
    </row>
    <row r="458">
      <c r="A458" s="236">
        <v>42914.0</v>
      </c>
      <c r="B458" s="33">
        <v>0.01905564685751505</v>
      </c>
      <c r="C458" s="33">
        <v>0.013613923342897016</v>
      </c>
      <c r="D458" s="9">
        <v>0.03266957020041207</v>
      </c>
      <c r="E458" s="9">
        <v>-0.018333971869656837</v>
      </c>
      <c r="F458" s="237">
        <v>-4050.294093164155</v>
      </c>
      <c r="G458" s="237">
        <v>7217.277748087732</v>
      </c>
      <c r="H458" s="240">
        <v>-0.008278683852153357</v>
      </c>
      <c r="I458" s="241">
        <v>4.087</v>
      </c>
      <c r="J458" s="242">
        <v>40.735</v>
      </c>
      <c r="K458" s="242">
        <v>174.14000000000001</v>
      </c>
      <c r="L458" s="242">
        <v>7.17</v>
      </c>
      <c r="M458" s="242">
        <v>105.78</v>
      </c>
      <c r="N458" s="243">
        <v>-0.0049133743695326</v>
      </c>
      <c r="O458" s="240">
        <v>-0.004860492508175778</v>
      </c>
      <c r="P458" s="240">
        <v>-0.0067859645385374935</v>
      </c>
      <c r="Q458" s="240">
        <v>-2.3729273206260157E-4</v>
      </c>
      <c r="R458" s="240">
        <v>-0.0030827465463603037</v>
      </c>
    </row>
    <row r="459">
      <c r="A459" s="236">
        <v>42913.0</v>
      </c>
      <c r="B459" s="33">
        <v>0.03736730082005239</v>
      </c>
      <c r="C459" s="33">
        <v>0.013636241250016518</v>
      </c>
      <c r="D459" s="9">
        <v>0.05100354207006891</v>
      </c>
      <c r="E459" s="9">
        <v>-0.004009134496780878</v>
      </c>
      <c r="F459" s="237">
        <v>-885.6877214853157</v>
      </c>
      <c r="G459" s="237">
        <v>11267.571841251887</v>
      </c>
      <c r="H459" s="240">
        <v>-0.0016654859766436954</v>
      </c>
      <c r="I459" s="241">
        <v>4.112</v>
      </c>
      <c r="J459" s="242">
        <v>40.956</v>
      </c>
      <c r="K459" s="242">
        <v>175.17000000000002</v>
      </c>
      <c r="L459" s="242">
        <v>7.2</v>
      </c>
      <c r="M459" s="242">
        <v>106.03</v>
      </c>
      <c r="N459" s="243">
        <v>-7.186642429991566E-4</v>
      </c>
      <c r="O459" s="240">
        <v>-0.0030681858076498647</v>
      </c>
      <c r="P459" s="240">
        <v>-0.004326657427095977</v>
      </c>
      <c r="Q459" s="240">
        <v>0.0011574074074074238</v>
      </c>
      <c r="R459" s="240">
        <v>-0.005635774747270607</v>
      </c>
    </row>
    <row r="460">
      <c r="A460" s="236">
        <v>42912.0</v>
      </c>
      <c r="B460" s="33">
        <v>0.04135404411609432</v>
      </c>
      <c r="C460" s="33">
        <v>0.013658632450755468</v>
      </c>
      <c r="D460" s="9">
        <v>0.055012676566849786</v>
      </c>
      <c r="E460" s="9">
        <v>-0.0024929451900223554</v>
      </c>
      <c r="F460" s="237">
        <v>-550.7350643665268</v>
      </c>
      <c r="G460" s="237">
        <v>12153.259562737203</v>
      </c>
      <c r="H460" s="240">
        <v>-2.6244114438340554E-4</v>
      </c>
      <c r="I460" s="241">
        <v>4.147</v>
      </c>
      <c r="J460" s="242">
        <v>41.331</v>
      </c>
      <c r="K460" s="242">
        <v>177.70000000000002</v>
      </c>
      <c r="L460" s="242">
        <v>7.2</v>
      </c>
      <c r="M460" s="242">
        <v>106.76</v>
      </c>
      <c r="N460" s="243">
        <v>0.0020121480508672363</v>
      </c>
      <c r="O460" s="240">
        <v>-0.0015242066208570795</v>
      </c>
      <c r="P460" s="240">
        <v>-4.327855733997951E-4</v>
      </c>
      <c r="Q460" s="240">
        <v>-0.0011654729642534686</v>
      </c>
      <c r="R460" s="240">
        <v>-0.0030626110666567593</v>
      </c>
    </row>
    <row r="461">
      <c r="A461" s="236">
        <v>42910.0</v>
      </c>
      <c r="B461" s="33">
        <v>0.04383801737971585</v>
      </c>
      <c r="C461" s="33">
        <v>0.013667604377156296</v>
      </c>
      <c r="D461" s="9">
        <v>0.05750562175687214</v>
      </c>
      <c r="E461" s="9">
        <v>0.001505621756872147</v>
      </c>
      <c r="F461" s="237">
        <v>332.61810107232486</v>
      </c>
      <c r="G461" s="237">
        <v>12703.99462710373</v>
      </c>
      <c r="H461" s="240">
        <v>-1.314594143759553E-4</v>
      </c>
      <c r="I461" s="241">
        <v>4.147</v>
      </c>
      <c r="J461" s="242">
        <v>41.331</v>
      </c>
      <c r="K461" s="242">
        <v>177.70000000000002</v>
      </c>
      <c r="L461" s="242">
        <v>7.175</v>
      </c>
      <c r="M461" s="242">
        <v>106.76</v>
      </c>
      <c r="N461" s="243">
        <v>0.003269219075380133</v>
      </c>
      <c r="O461" s="240">
        <v>-0.002680275985018916</v>
      </c>
      <c r="P461" s="240">
        <v>-7.512628772084387E-4</v>
      </c>
      <c r="Q461" s="240">
        <v>-0.003937643924140674</v>
      </c>
      <c r="R461" s="240">
        <v>-0.0020106959623933988</v>
      </c>
    </row>
    <row r="462">
      <c r="A462" s="236">
        <v>42909.0</v>
      </c>
      <c r="B462" s="33">
        <v>0.0423</v>
      </c>
      <c r="C462" s="33">
        <v>0.0137</v>
      </c>
      <c r="D462" s="9">
        <v>0.055999999999999994</v>
      </c>
      <c r="E462" s="9">
        <v>1.9999999999999185E-4</v>
      </c>
      <c r="F462" s="237">
        <v>44.18348759296896</v>
      </c>
      <c r="G462" s="237">
        <v>12371.376526031405</v>
      </c>
      <c r="H462" s="240">
        <v>7.333333333333312E-4</v>
      </c>
      <c r="I462" s="241">
        <v>4.12</v>
      </c>
      <c r="J462" s="242">
        <v>41.333</v>
      </c>
      <c r="K462" s="242">
        <v>177.44</v>
      </c>
      <c r="L462" s="242">
        <v>7.175</v>
      </c>
      <c r="M462" s="242">
        <v>107.83</v>
      </c>
      <c r="N462" s="243">
        <v>0.0015379477990847994</v>
      </c>
      <c r="O462" s="240">
        <v>-0.004344253569081327</v>
      </c>
      <c r="P462" s="240">
        <v>-3.031723962979785E-4</v>
      </c>
      <c r="Q462" s="240">
        <v>-0.003478507101367497</v>
      </c>
      <c r="R462" s="240">
        <v>0.0010818378284539322</v>
      </c>
    </row>
    <row r="463">
      <c r="A463" s="236">
        <v>42908.0</v>
      </c>
      <c r="B463" s="33">
        <v>0.0421</v>
      </c>
      <c r="C463" s="33">
        <v>0.0137</v>
      </c>
      <c r="D463" s="9">
        <v>0.0558</v>
      </c>
      <c r="E463" s="9">
        <v>-0.0021000000000000046</v>
      </c>
      <c r="F463" s="237">
        <v>-463.9266197261786</v>
      </c>
      <c r="G463" s="237">
        <v>12327.193038438436</v>
      </c>
      <c r="H463" s="240">
        <v>0.0015666666666666676</v>
      </c>
      <c r="I463" s="241">
        <v>4.122</v>
      </c>
      <c r="J463" s="242">
        <v>41.52</v>
      </c>
      <c r="K463" s="242">
        <v>177.93</v>
      </c>
      <c r="L463" s="242">
        <v>7.2250000000000005</v>
      </c>
      <c r="M463" s="242">
        <v>107.74000000000001</v>
      </c>
      <c r="N463" s="243">
        <v>0.0031516754340083527</v>
      </c>
      <c r="O463" s="240">
        <v>-0.0022311873191532853</v>
      </c>
      <c r="P463" s="240">
        <v>5.610202453969858E-4</v>
      </c>
      <c r="Q463" s="240">
        <v>-0.004603902591775577</v>
      </c>
      <c r="R463" s="240">
        <v>8.036221185402124E-4</v>
      </c>
    </row>
    <row r="464">
      <c r="A464" s="236">
        <v>42907.0</v>
      </c>
      <c r="B464" s="33">
        <v>0.0442</v>
      </c>
      <c r="C464" s="33">
        <v>0.0137</v>
      </c>
      <c r="D464" s="9">
        <v>0.05790000000000001</v>
      </c>
      <c r="E464" s="9">
        <v>0.004100000000000006</v>
      </c>
      <c r="F464" s="237">
        <v>905.7614956558718</v>
      </c>
      <c r="G464" s="237">
        <v>12791.119658164615</v>
      </c>
      <c r="H464" s="240">
        <v>0.0030333333333333345</v>
      </c>
      <c r="I464" s="241">
        <v>4.106</v>
      </c>
      <c r="J464" s="242">
        <v>41.664</v>
      </c>
      <c r="K464" s="242">
        <v>178.10000000000002</v>
      </c>
      <c r="L464" s="242">
        <v>7.26</v>
      </c>
      <c r="M464" s="242">
        <v>107.4</v>
      </c>
      <c r="N464" s="243">
        <v>0.0018946044094954558</v>
      </c>
      <c r="O464" s="240">
        <v>-0.0010751179549914492</v>
      </c>
      <c r="P464" s="240">
        <v>8.794975492056294E-4</v>
      </c>
      <c r="Q464" s="240">
        <v>-0.002989139039295797</v>
      </c>
      <c r="R464" s="240">
        <v>-2.48292985723148E-4</v>
      </c>
    </row>
    <row r="465">
      <c r="A465" s="236">
        <v>42906.0</v>
      </c>
      <c r="B465" s="33">
        <v>0.0402</v>
      </c>
      <c r="C465" s="33">
        <v>0.0136</v>
      </c>
      <c r="D465" s="9">
        <v>0.0538</v>
      </c>
      <c r="E465" s="9">
        <v>0.002700000000000001</v>
      </c>
      <c r="F465" s="237">
        <v>596.4770825050855</v>
      </c>
      <c r="G465" s="237">
        <v>11885.358162508743</v>
      </c>
      <c r="H465" s="240">
        <v>0.0015999999999999996</v>
      </c>
      <c r="I465" s="241">
        <v>4.101</v>
      </c>
      <c r="J465" s="242">
        <v>41.874</v>
      </c>
      <c r="K465" s="242">
        <v>177.60000000000002</v>
      </c>
      <c r="L465" s="242">
        <v>7.25</v>
      </c>
      <c r="M465" s="242">
        <v>107.48</v>
      </c>
      <c r="N465" s="243">
        <v>0.00147399452516317</v>
      </c>
      <c r="O465" s="240">
        <v>6.049895718902781E-4</v>
      </c>
      <c r="P465" s="240">
        <v>-5.630630630625509E-5</v>
      </c>
      <c r="Q465" s="240">
        <v>-0.0034482758620689737</v>
      </c>
      <c r="R465" s="240">
        <v>0.0</v>
      </c>
    </row>
    <row r="466">
      <c r="A466" s="236">
        <v>42905.0</v>
      </c>
      <c r="B466" s="33">
        <v>0.0376</v>
      </c>
      <c r="C466" s="33">
        <v>0.0135</v>
      </c>
      <c r="D466" s="9">
        <v>0.0511</v>
      </c>
      <c r="E466" s="9">
        <v>0.0022999999999999965</v>
      </c>
      <c r="F466" s="237">
        <v>508.11010731914575</v>
      </c>
      <c r="G466" s="237">
        <v>11288.881080003657</v>
      </c>
      <c r="H466" s="240">
        <v>0.0021359369314648802</v>
      </c>
      <c r="I466" s="241">
        <v>4.083</v>
      </c>
      <c r="J466" s="242">
        <v>41.798</v>
      </c>
      <c r="K466" s="242">
        <v>177.63</v>
      </c>
      <c r="L466" s="242">
        <v>7.325</v>
      </c>
      <c r="M466" s="242">
        <v>107.48</v>
      </c>
      <c r="N466" s="243">
        <v>2.1150592216578637E-4</v>
      </c>
      <c r="O466" s="240">
        <v>0.0036843868127661872</v>
      </c>
      <c r="P466" s="240">
        <v>2.439527857531488E-4</v>
      </c>
      <c r="Q466" s="240">
        <v>0.0</v>
      </c>
      <c r="R466" s="240">
        <v>-8.063515692842238E-4</v>
      </c>
    </row>
    <row r="467">
      <c r="A467" s="236">
        <v>42904.0</v>
      </c>
      <c r="B467" s="33">
        <v>0.0354</v>
      </c>
      <c r="C467" s="33">
        <v>0.0134</v>
      </c>
      <c r="D467" s="9">
        <v>0.0488</v>
      </c>
      <c r="E467" s="9">
        <v>-1.999999999999988E-4</v>
      </c>
      <c r="F467" s="237">
        <v>-44.18348759296896</v>
      </c>
      <c r="G467" s="237">
        <v>10780.770972684511</v>
      </c>
      <c r="H467" s="240">
        <v>0.001033333333333335</v>
      </c>
      <c r="I467" s="241">
        <v>4.083</v>
      </c>
      <c r="J467" s="242">
        <v>41.798</v>
      </c>
      <c r="K467" s="242">
        <v>177.63</v>
      </c>
      <c r="L467" s="242">
        <v>7.325</v>
      </c>
      <c r="M467" s="242">
        <v>107.48</v>
      </c>
      <c r="N467" s="243">
        <v>0.0017635341408606617</v>
      </c>
      <c r="O467" s="240">
        <v>0.0013942119853357076</v>
      </c>
      <c r="P467" s="240">
        <v>0.001971652316269557</v>
      </c>
      <c r="Q467" s="240">
        <v>-0.005688282138794084</v>
      </c>
      <c r="R467" s="240">
        <v>-0.004395238395594466</v>
      </c>
    </row>
    <row r="468">
      <c r="A468" s="236">
        <v>42903.0</v>
      </c>
      <c r="B468" s="33">
        <v>0.0357</v>
      </c>
      <c r="C468" s="33">
        <v>0.0133</v>
      </c>
      <c r="D468" s="9">
        <v>0.049</v>
      </c>
      <c r="E468" s="9">
        <v>0.0043078107943946425</v>
      </c>
      <c r="F468" s="237">
        <v>951.6705239349758</v>
      </c>
      <c r="G468" s="237">
        <v>10824.95446027748</v>
      </c>
      <c r="H468" s="240">
        <v>0.0013000000000000025</v>
      </c>
      <c r="I468" s="241">
        <v>4.083</v>
      </c>
      <c r="J468" s="242">
        <v>41.798</v>
      </c>
      <c r="K468" s="242">
        <v>177.63</v>
      </c>
      <c r="L468" s="242">
        <v>7.325</v>
      </c>
      <c r="M468" s="242">
        <v>107.48</v>
      </c>
      <c r="N468" s="243">
        <v>-0.0010006589273936332</v>
      </c>
      <c r="O468" s="240">
        <v>0.005174445847261018</v>
      </c>
      <c r="P468" s="240">
        <v>0.002462459127157954</v>
      </c>
      <c r="Q468" s="240">
        <v>-0.0021088637942750653</v>
      </c>
      <c r="R468" s="240">
        <v>-0.00877234277269882</v>
      </c>
    </row>
    <row r="469">
      <c r="A469" s="236">
        <v>42902.0</v>
      </c>
      <c r="B469" s="33">
        <f>2185.38/69394.35</f>
        <v>0.03149218921</v>
      </c>
      <c r="C469" s="33">
        <v>0.0132</v>
      </c>
      <c r="D469" s="9">
        <v>0.04469218920560536</v>
      </c>
      <c r="E469" s="9">
        <v>-0.0010078107943946382</v>
      </c>
      <c r="F469" s="237">
        <v>-222.6429786509816</v>
      </c>
      <c r="G469" s="237">
        <v>9873.283936342505</v>
      </c>
      <c r="H469" s="240">
        <v>9.739640186845246E-5</v>
      </c>
      <c r="I469" s="241">
        <v>4.081</v>
      </c>
      <c r="J469" s="242">
        <v>41.336</v>
      </c>
      <c r="K469" s="242">
        <v>177.5</v>
      </c>
      <c r="L469" s="242">
        <v>7.325</v>
      </c>
      <c r="M469" s="242">
        <v>107.74000000000001</v>
      </c>
      <c r="N469" s="243">
        <v>-8.60695708550009E-4</v>
      </c>
      <c r="O469" s="240">
        <v>8.419918947391659E-4</v>
      </c>
      <c r="P469" s="240">
        <v>0.0028045619977871447</v>
      </c>
      <c r="Q469" s="240">
        <v>-0.0016565797599014883</v>
      </c>
      <c r="R469" s="240">
        <v>-0.00506560146354332</v>
      </c>
    </row>
    <row r="470">
      <c r="A470" s="236">
        <v>42895.0</v>
      </c>
      <c r="B470" s="33">
        <v>0.0326</v>
      </c>
      <c r="C470" s="33">
        <v>0.0131</v>
      </c>
      <c r="D470" s="9">
        <v>0.0457</v>
      </c>
      <c r="E470" s="9">
        <v>6.000000000000033E-4</v>
      </c>
      <c r="F470" s="237">
        <v>132.5504627789087</v>
      </c>
      <c r="G470" s="237">
        <v>10095.926914993486</v>
      </c>
      <c r="H470" s="240">
        <v>0.0017666666666666664</v>
      </c>
      <c r="I470" s="241">
        <v>4.062</v>
      </c>
      <c r="J470" s="242">
        <v>41.62</v>
      </c>
      <c r="K470" s="242">
        <v>176.58</v>
      </c>
      <c r="L470" s="242">
        <v>7.45</v>
      </c>
      <c r="M470" s="242">
        <v>108.9</v>
      </c>
      <c r="N470" s="243">
        <v>-0.0024127239272448845</v>
      </c>
      <c r="O470" s="240">
        <v>0.0031321667221696457</v>
      </c>
      <c r="P470" s="240">
        <v>0.0010768624672707363</v>
      </c>
      <c r="Q470" s="240">
        <v>0.004031702378892596</v>
      </c>
      <c r="R470" s="240">
        <v>-0.0014767146372330782</v>
      </c>
    </row>
    <row r="471">
      <c r="A471" s="236">
        <v>42893.0</v>
      </c>
      <c r="B471" s="33">
        <v>0.0321</v>
      </c>
      <c r="C471" s="33">
        <v>0.013</v>
      </c>
      <c r="D471" s="9">
        <v>0.045099999999999994</v>
      </c>
      <c r="E471" s="9">
        <v>6.999999999999923E-4</v>
      </c>
      <c r="F471" s="237">
        <v>154.64220657539045</v>
      </c>
      <c r="G471" s="237">
        <v>9963.376452214578</v>
      </c>
      <c r="H471" s="240">
        <v>0.002866666666666663</v>
      </c>
      <c r="I471" s="241">
        <v>4.095</v>
      </c>
      <c r="J471" s="242">
        <v>41.148</v>
      </c>
      <c r="K471" s="242">
        <v>176.32</v>
      </c>
      <c r="L471" s="242">
        <v>7.37</v>
      </c>
      <c r="M471" s="242">
        <v>110.33</v>
      </c>
      <c r="N471" s="243">
        <v>0.00272287157574304</v>
      </c>
      <c r="O471" s="240">
        <v>9.689568892214287E-4</v>
      </c>
      <c r="P471" s="240">
        <v>7.186238816725563E-4</v>
      </c>
      <c r="Q471" s="240">
        <v>4.5228403437357696E-4</v>
      </c>
      <c r="R471" s="240">
        <v>0.005887192946113097</v>
      </c>
    </row>
    <row r="472">
      <c r="A472" s="236">
        <v>42891.0</v>
      </c>
      <c r="B472" s="33">
        <v>0.0315</v>
      </c>
      <c r="C472" s="33">
        <v>0.0129</v>
      </c>
      <c r="D472" s="9">
        <v>0.0444</v>
      </c>
      <c r="E472" s="9">
        <v>0.0040000000000000036</v>
      </c>
      <c r="F472" s="237">
        <v>883.6697518593883</v>
      </c>
      <c r="G472" s="237">
        <v>9808.734245639187</v>
      </c>
      <c r="H472" s="240">
        <v>0.003066666666666669</v>
      </c>
      <c r="I472" s="241">
        <v>4.091</v>
      </c>
      <c r="J472" s="242">
        <v>41.228</v>
      </c>
      <c r="K472" s="242">
        <v>176.01</v>
      </c>
      <c r="L472" s="242">
        <v>7.36</v>
      </c>
      <c r="M472" s="242">
        <v>109.37</v>
      </c>
      <c r="N472" s="243">
        <v>0.0038809808158702815</v>
      </c>
      <c r="O472" s="240">
        <v>0.0013895371094749755</v>
      </c>
      <c r="P472" s="240">
        <v>-5.115907683060914E-4</v>
      </c>
      <c r="Q472" s="240">
        <v>-0.005887681159420285</v>
      </c>
      <c r="R472" s="240">
        <v>0.0024332466050793317</v>
      </c>
    </row>
    <row r="473">
      <c r="A473" s="236">
        <v>42889.0</v>
      </c>
      <c r="B473" s="33">
        <v>0.0276</v>
      </c>
      <c r="C473" s="33">
        <v>0.0128</v>
      </c>
      <c r="D473" s="9">
        <v>0.0404</v>
      </c>
      <c r="E473" s="9">
        <v>0.0038999999999999937</v>
      </c>
      <c r="F473" s="237">
        <v>861.5780080628992</v>
      </c>
      <c r="G473" s="237">
        <v>8925.064493779799</v>
      </c>
      <c r="H473" s="240">
        <v>0.0019999999999999996</v>
      </c>
      <c r="I473" s="241">
        <v>4.091</v>
      </c>
      <c r="J473" s="242">
        <v>41.228</v>
      </c>
      <c r="K473" s="242">
        <v>176.01</v>
      </c>
      <c r="L473" s="242">
        <v>7.36</v>
      </c>
      <c r="M473" s="242">
        <v>109.37</v>
      </c>
      <c r="N473" s="243">
        <v>0.0038809808158702815</v>
      </c>
      <c r="O473" s="240">
        <v>5.613999309870251E-4</v>
      </c>
      <c r="P473" s="240">
        <v>-4.926814573613994E-4</v>
      </c>
      <c r="Q473" s="240">
        <v>-0.009893021613358864</v>
      </c>
      <c r="R473" s="240">
        <v>0.0010823516371630943</v>
      </c>
    </row>
    <row r="474">
      <c r="A474" s="236">
        <v>42887.0</v>
      </c>
      <c r="B474" s="33">
        <v>0.0238</v>
      </c>
      <c r="C474" s="33">
        <v>0.0127</v>
      </c>
      <c r="D474" s="9">
        <v>0.036500000000000005</v>
      </c>
      <c r="E474" s="9">
        <v>0.0013000000000000095</v>
      </c>
      <c r="F474" s="237">
        <v>287.1926693543028</v>
      </c>
      <c r="G474" s="237">
        <v>8063.4864857169</v>
      </c>
      <c r="H474" s="240">
        <v>0.001200000000000002</v>
      </c>
      <c r="I474" s="241">
        <v>4.062</v>
      </c>
      <c r="J474" s="242">
        <v>41.028</v>
      </c>
      <c r="K474" s="242">
        <v>175.94</v>
      </c>
      <c r="L474" s="242">
        <v>7.36</v>
      </c>
      <c r="M474" s="242">
        <v>108.39</v>
      </c>
      <c r="N474" s="243">
        <v>0.0027910820120636906</v>
      </c>
      <c r="O474" s="240">
        <v>-9.098444196772197E-4</v>
      </c>
      <c r="P474" s="240">
        <v>-4.36145845734776E-4</v>
      </c>
      <c r="Q474" s="240">
        <v>-0.009453267875452101</v>
      </c>
      <c r="R474" s="240">
        <v>-0.0018738733346659665</v>
      </c>
    </row>
    <row r="475">
      <c r="A475" s="236">
        <v>42885.0</v>
      </c>
      <c r="B475" s="33">
        <v>0.0226</v>
      </c>
      <c r="C475" s="33">
        <v>0.0126</v>
      </c>
      <c r="D475" s="9">
        <v>0.035199999999999995</v>
      </c>
      <c r="E475" s="9">
        <v>7.999999999999952E-4</v>
      </c>
      <c r="F475" s="237">
        <v>176.73395037187584</v>
      </c>
      <c r="G475" s="237">
        <v>7776.293816362597</v>
      </c>
      <c r="H475" s="240">
        <v>0.001933333333333331</v>
      </c>
      <c r="I475" s="241">
        <v>4.043</v>
      </c>
      <c r="J475" s="242">
        <v>41.056</v>
      </c>
      <c r="K475" s="242">
        <v>176.28</v>
      </c>
      <c r="L475" s="242">
        <v>7.49</v>
      </c>
      <c r="M475" s="242">
        <v>108.57000000000001</v>
      </c>
      <c r="N475" s="243">
        <v>0.0020676671529395395</v>
      </c>
      <c r="O475" s="240">
        <v>6.464384810273086E-4</v>
      </c>
      <c r="P475" s="240">
        <v>0.0017027814587733797</v>
      </c>
      <c r="Q475" s="240">
        <v>-0.003565586716031816</v>
      </c>
      <c r="R475" s="240">
        <v>0.0026857994744476006</v>
      </c>
    </row>
    <row r="476">
      <c r="A476" s="236">
        <v>42882.0</v>
      </c>
      <c r="B476" s="33">
        <v>0.0219</v>
      </c>
      <c r="C476" s="33">
        <v>0.0125</v>
      </c>
      <c r="D476" s="9">
        <v>0.0344</v>
      </c>
      <c r="E476" s="9">
        <v>0.0015000000000000013</v>
      </c>
      <c r="F476" s="237">
        <v>331.37615694727083</v>
      </c>
      <c r="G476" s="237">
        <v>7599.559865990721</v>
      </c>
      <c r="H476" s="240">
        <v>0.002266666666666667</v>
      </c>
      <c r="I476" s="241">
        <v>4.043</v>
      </c>
      <c r="J476" s="242">
        <v>41.158</v>
      </c>
      <c r="K476" s="242">
        <v>176.27</v>
      </c>
      <c r="L476" s="242">
        <v>7.58</v>
      </c>
      <c r="M476" s="242">
        <v>109.01</v>
      </c>
      <c r="N476" s="243">
        <v>0.0014659048490495853</v>
      </c>
      <c r="O476" s="240">
        <v>0.004321770765593625</v>
      </c>
      <c r="P476" s="240">
        <v>0.002349094332038203</v>
      </c>
      <c r="Q476" s="240">
        <v>-0.002202254188116998</v>
      </c>
      <c r="R476" s="240">
        <v>0.003820023132740513</v>
      </c>
    </row>
    <row r="477">
      <c r="A477" s="236">
        <v>42881.0</v>
      </c>
      <c r="B477" s="33">
        <v>0.0205</v>
      </c>
      <c r="C477" s="33">
        <v>0.0124</v>
      </c>
      <c r="D477" s="9">
        <v>0.0329</v>
      </c>
      <c r="E477" s="9">
        <v>0.003499999999999996</v>
      </c>
      <c r="F477" s="237">
        <v>773.2110328769613</v>
      </c>
      <c r="G477" s="237">
        <v>7268.18370904345</v>
      </c>
      <c r="H477" s="240">
        <v>9.999999999999998E-4</v>
      </c>
      <c r="I477" s="241">
        <v>4.028</v>
      </c>
      <c r="J477" s="242">
        <v>41.14</v>
      </c>
      <c r="K477" s="242">
        <v>176.17000000000002</v>
      </c>
      <c r="L477" s="242">
        <v>7.57</v>
      </c>
      <c r="M477" s="242">
        <v>109.0</v>
      </c>
      <c r="N477" s="243">
        <v>-8.01830984632674E-5</v>
      </c>
      <c r="O477" s="240">
        <v>0.005127762530855496</v>
      </c>
      <c r="P477" s="240">
        <v>0.0017219703461945313</v>
      </c>
      <c r="Q477" s="240">
        <v>-0.004389495912043858</v>
      </c>
      <c r="R477" s="240">
        <v>0.0035419813991938802</v>
      </c>
    </row>
    <row r="478">
      <c r="A478" s="236">
        <v>42880.0</v>
      </c>
      <c r="B478" s="33">
        <v>0.0171</v>
      </c>
      <c r="C478" s="33">
        <v>0.0123</v>
      </c>
      <c r="D478" s="9">
        <v>0.029400000000000003</v>
      </c>
      <c r="E478" s="9">
        <v>0.001800000000000003</v>
      </c>
      <c r="F478" s="237">
        <v>397.6513883367252</v>
      </c>
      <c r="G478" s="237">
        <v>6494.972676166489</v>
      </c>
      <c r="H478" s="240">
        <v>-0.0015035725050622506</v>
      </c>
      <c r="I478" s="241">
        <v>4.018</v>
      </c>
      <c r="J478" s="242">
        <v>40.976</v>
      </c>
      <c r="K478" s="242">
        <v>175.38</v>
      </c>
      <c r="L478" s="242">
        <v>7.57</v>
      </c>
      <c r="M478" s="242">
        <v>107.69</v>
      </c>
      <c r="N478" s="243">
        <v>0.003570857297982573</v>
      </c>
      <c r="O478" s="240">
        <v>-0.0020432123362187234</v>
      </c>
      <c r="P478" s="240">
        <v>-0.0027207990298015934</v>
      </c>
      <c r="Q478" s="240">
        <v>-0.001999230809914362</v>
      </c>
      <c r="R478" s="240">
        <v>7.104448153773094E-4</v>
      </c>
    </row>
    <row r="479">
      <c r="A479" s="236">
        <v>42878.0</v>
      </c>
      <c r="B479" s="33">
        <v>0.0154</v>
      </c>
      <c r="C479" s="33">
        <v>0.0122</v>
      </c>
      <c r="D479" s="9">
        <v>0.0276</v>
      </c>
      <c r="E479" s="9">
        <v>-0.0023</v>
      </c>
      <c r="F479" s="237">
        <v>-508.1101073191476</v>
      </c>
      <c r="G479" s="237">
        <v>6097.321287829764</v>
      </c>
      <c r="H479" s="240">
        <v>0.0</v>
      </c>
      <c r="I479" s="241">
        <v>4.026</v>
      </c>
      <c r="J479" s="242">
        <v>40.626</v>
      </c>
      <c r="K479" s="242">
        <v>175.03</v>
      </c>
      <c r="L479" s="242">
        <v>7.63</v>
      </c>
      <c r="M479" s="242">
        <v>107.76</v>
      </c>
      <c r="N479" s="243">
        <v>0.0</v>
      </c>
      <c r="O479" s="240">
        <v>0.0</v>
      </c>
      <c r="P479" s="240">
        <v>0.0</v>
      </c>
      <c r="Q479" s="240">
        <v>0.0</v>
      </c>
      <c r="R479" s="240">
        <v>0.0</v>
      </c>
    </row>
    <row r="480">
      <c r="A480" s="236">
        <v>42875.0</v>
      </c>
      <c r="B480" s="33">
        <v>0.0178</v>
      </c>
      <c r="C480" s="33">
        <v>0.0121</v>
      </c>
      <c r="D480" s="9">
        <v>0.0299</v>
      </c>
      <c r="E480" s="9">
        <v>-0.004010717515186755</v>
      </c>
      <c r="F480" s="237">
        <v>-886.0374378557935</v>
      </c>
      <c r="G480" s="237">
        <v>6605.431395148911</v>
      </c>
      <c r="H480" s="240">
        <v>0.0</v>
      </c>
      <c r="I480" s="241">
        <v>4.029</v>
      </c>
      <c r="J480" s="242">
        <v>40.51</v>
      </c>
      <c r="K480" s="242">
        <v>175.26</v>
      </c>
      <c r="L480" s="242">
        <v>7.67</v>
      </c>
      <c r="M480" s="242">
        <v>107.84</v>
      </c>
      <c r="N480" s="243">
        <v>0.0</v>
      </c>
      <c r="O480" s="240">
        <v>0.0</v>
      </c>
      <c r="P480" s="240">
        <v>0.0</v>
      </c>
      <c r="Q480" s="240">
        <v>0.0</v>
      </c>
      <c r="R480" s="240">
        <v>0.0</v>
      </c>
    </row>
    <row r="481">
      <c r="A481" s="236">
        <v>42871.0</v>
      </c>
      <c r="B481" s="33">
        <f>1520.48/69394.35</f>
        <v>0.02191071752</v>
      </c>
      <c r="C481" s="33">
        <v>0.012</v>
      </c>
      <c r="D481" s="9">
        <v>0.033910717515186754</v>
      </c>
      <c r="E481" s="9">
        <v>5.468744933845512E-4</v>
      </c>
      <c r="F481" s="237">
        <v>120.81411196683894</v>
      </c>
      <c r="G481" s="237">
        <v>7491.468833004705</v>
      </c>
      <c r="H481" s="240">
        <v>0.0</v>
      </c>
      <c r="I481" s="241">
        <v>3.975</v>
      </c>
      <c r="J481" s="242">
        <v>41.22</v>
      </c>
      <c r="K481" s="242">
        <v>176.81</v>
      </c>
      <c r="L481" s="242">
        <v>7.615</v>
      </c>
      <c r="M481" s="242">
        <v>107.46000000000001</v>
      </c>
      <c r="N481" s="243">
        <v>0.0</v>
      </c>
      <c r="O481" s="240">
        <v>0.0</v>
      </c>
      <c r="P481" s="240">
        <v>0.0</v>
      </c>
      <c r="Q481" s="240">
        <v>0.0</v>
      </c>
      <c r="R481" s="240">
        <v>0.0</v>
      </c>
    </row>
    <row r="482">
      <c r="A482" s="236">
        <v>42864.0</v>
      </c>
      <c r="B482" s="33">
        <f>1482.53/69394.35</f>
        <v>0.02136384302</v>
      </c>
      <c r="C482" s="33">
        <v>0.012</v>
      </c>
      <c r="D482" s="9">
        <v>0.0333638430218022</v>
      </c>
      <c r="E482" s="9">
        <v>-0.01404307411194139</v>
      </c>
      <c r="F482" s="237">
        <v>-3102.359953960554</v>
      </c>
      <c r="G482" s="237">
        <v>7370.654721037866</v>
      </c>
      <c r="H482" s="240">
        <v>0.0</v>
      </c>
      <c r="I482" s="241">
        <v>3.931</v>
      </c>
      <c r="J482" s="242">
        <v>41.913000000000004</v>
      </c>
      <c r="K482" s="242">
        <v>180.21</v>
      </c>
      <c r="L482" s="242">
        <v>7.615</v>
      </c>
      <c r="M482" s="242">
        <v>107.59</v>
      </c>
      <c r="N482" s="243">
        <v>0.0</v>
      </c>
      <c r="O482" s="240">
        <v>0.0</v>
      </c>
      <c r="P482" s="240">
        <v>0.0</v>
      </c>
      <c r="Q482" s="240">
        <v>0.0</v>
      </c>
      <c r="R482" s="240">
        <v>0.0</v>
      </c>
    </row>
    <row r="483">
      <c r="A483" s="236">
        <v>42857.0</v>
      </c>
      <c r="B483" s="33">
        <f>2457.04/69394.35</f>
        <v>0.03540691713</v>
      </c>
      <c r="C483" s="33">
        <v>0.012</v>
      </c>
      <c r="D483" s="9">
        <v>0.04740691713374359</v>
      </c>
      <c r="E483" s="9">
        <v>-1.994398679431436E-4</v>
      </c>
      <c r="F483" s="237">
        <v>-44.05974465404688</v>
      </c>
      <c r="G483" s="237">
        <v>10473.01467499842</v>
      </c>
      <c r="H483" s="240">
        <v>0.0</v>
      </c>
      <c r="I483" s="241">
        <v>3.954</v>
      </c>
      <c r="J483" s="242">
        <v>41.612</v>
      </c>
      <c r="K483" s="242">
        <v>181.13</v>
      </c>
      <c r="L483" s="242">
        <v>7.635</v>
      </c>
      <c r="M483" s="242">
        <v>110.65</v>
      </c>
      <c r="N483" s="243">
        <v>0.0</v>
      </c>
      <c r="O483" s="240">
        <v>0.0</v>
      </c>
      <c r="P483" s="240">
        <v>0.0</v>
      </c>
      <c r="Q483" s="240">
        <v>0.0</v>
      </c>
      <c r="R483" s="240">
        <v>0.0</v>
      </c>
    </row>
    <row r="484">
      <c r="A484" s="236">
        <v>42852.0</v>
      </c>
      <c r="B484" s="33">
        <f>2470.88/69394.35</f>
        <v>0.035606357</v>
      </c>
      <c r="C484" s="33">
        <v>0.012</v>
      </c>
      <c r="D484" s="9">
        <v>0.047606357001686736</v>
      </c>
      <c r="E484" s="9">
        <v>0.016636368811005508</v>
      </c>
      <c r="F484" s="237">
        <v>3675.2639747656167</v>
      </c>
      <c r="G484" s="237">
        <v>10517.074419652467</v>
      </c>
      <c r="H484" s="240">
        <v>0.0</v>
      </c>
      <c r="I484" s="241">
        <v>3.973</v>
      </c>
      <c r="J484" s="242">
        <v>41.738</v>
      </c>
      <c r="K484" s="242">
        <v>181.92000000000002</v>
      </c>
      <c r="L484" s="242">
        <v>7.805000000000001</v>
      </c>
      <c r="M484" s="242">
        <v>112.0</v>
      </c>
      <c r="N484" s="243">
        <v>0.0</v>
      </c>
      <c r="O484" s="240">
        <v>0.0</v>
      </c>
      <c r="P484" s="240">
        <v>0.0</v>
      </c>
      <c r="Q484" s="240">
        <v>0.0</v>
      </c>
      <c r="R484" s="240">
        <v>0.0</v>
      </c>
    </row>
    <row r="485">
      <c r="A485" s="236">
        <v>42853.0</v>
      </c>
      <c r="B485" s="33">
        <f>1316.41/69394.35</f>
        <v>0.01896998819</v>
      </c>
      <c r="C485" s="33">
        <v>0.012</v>
      </c>
      <c r="D485" s="9">
        <v>0.030969988190681228</v>
      </c>
      <c r="E485" s="9">
        <v>8.180781288390192E-4</v>
      </c>
      <c r="F485" s="237">
        <v>180.727724278192</v>
      </c>
      <c r="G485" s="237">
        <v>6841.81044488685</v>
      </c>
      <c r="H485" s="240">
        <v>0.0</v>
      </c>
      <c r="I485" s="241">
        <v>3.967</v>
      </c>
      <c r="J485" s="242">
        <v>41.564</v>
      </c>
      <c r="K485" s="242">
        <v>181.23</v>
      </c>
      <c r="L485" s="242">
        <v>7.745</v>
      </c>
      <c r="M485" s="242">
        <v>111.93</v>
      </c>
      <c r="N485" s="243">
        <v>0.0</v>
      </c>
      <c r="O485" s="240">
        <v>0.0</v>
      </c>
      <c r="P485" s="240">
        <v>0.0</v>
      </c>
      <c r="Q485" s="240">
        <v>0.0</v>
      </c>
      <c r="R485" s="240">
        <v>0.0</v>
      </c>
    </row>
    <row r="486">
      <c r="A486" s="236">
        <v>42836.0</v>
      </c>
      <c r="B486" s="33">
        <f>1259.64/69394.35</f>
        <v>0.01815191006</v>
      </c>
      <c r="C486" s="33">
        <v>0.012</v>
      </c>
      <c r="D486" s="9">
        <v>0.03015191006184221</v>
      </c>
      <c r="E486" s="9">
        <v>4.2582717469073425E-4</v>
      </c>
      <c r="F486" s="237">
        <v>94.07264844848578</v>
      </c>
      <c r="G486" s="237">
        <v>6661.082720608658</v>
      </c>
      <c r="H486" s="240">
        <v>0.0</v>
      </c>
      <c r="I486" s="241">
        <v>3.99</v>
      </c>
      <c r="J486" s="242">
        <v>41.878</v>
      </c>
      <c r="K486" s="242">
        <v>185.54</v>
      </c>
      <c r="L486" s="242">
        <v>8.145</v>
      </c>
      <c r="M486" s="242">
        <v>115.21000000000001</v>
      </c>
      <c r="N486" s="243">
        <v>0.0</v>
      </c>
      <c r="O486" s="240">
        <v>0.0</v>
      </c>
      <c r="P486" s="240">
        <v>0.0</v>
      </c>
      <c r="Q486" s="240">
        <v>0.0</v>
      </c>
      <c r="R486" s="240">
        <v>0.0</v>
      </c>
    </row>
    <row r="487">
      <c r="A487" s="236">
        <v>42835.0</v>
      </c>
      <c r="B487" s="33">
        <f>1230.09/69394.35</f>
        <v>0.01772608289</v>
      </c>
      <c r="C487" s="33">
        <v>0.012</v>
      </c>
      <c r="D487" s="9">
        <v>0.029726082887151475</v>
      </c>
      <c r="E487" s="9">
        <v>-2.3056632132145705E-6</v>
      </c>
      <c r="F487" s="237">
        <v>-0.5093612098726226</v>
      </c>
      <c r="G487" s="237">
        <v>6567.010072160172</v>
      </c>
      <c r="H487" s="240">
        <v>0.0</v>
      </c>
      <c r="I487" s="241">
        <v>3.955</v>
      </c>
      <c r="J487" s="242">
        <v>42.236000000000004</v>
      </c>
      <c r="K487" s="242">
        <v>185.12</v>
      </c>
      <c r="L487" s="242">
        <v>8.145</v>
      </c>
      <c r="M487" s="242">
        <v>113.77</v>
      </c>
      <c r="N487" s="243">
        <v>0.0</v>
      </c>
      <c r="O487" s="240">
        <v>0.0</v>
      </c>
      <c r="P487" s="240">
        <v>0.0</v>
      </c>
      <c r="Q487" s="240">
        <v>0.0</v>
      </c>
      <c r="R487" s="240">
        <v>0.0</v>
      </c>
    </row>
    <row r="488">
      <c r="A488" s="236">
        <v>42830.0</v>
      </c>
      <c r="B488" s="33">
        <f>1230.25/69394.35</f>
        <v>0.01772838855</v>
      </c>
      <c r="C488" s="33">
        <v>0.012</v>
      </c>
      <c r="D488" s="9">
        <v>0.02972838855036469</v>
      </c>
      <c r="E488" s="9">
        <v>6.484677787168408E-5</v>
      </c>
      <c r="F488" s="237">
        <v>14.325784027687405</v>
      </c>
      <c r="G488" s="237">
        <v>6567.519433370045</v>
      </c>
      <c r="H488" s="240">
        <v>0.0</v>
      </c>
      <c r="I488" s="241">
        <v>3.941</v>
      </c>
      <c r="J488" s="242">
        <v>42.246</v>
      </c>
      <c r="K488" s="242">
        <v>184.16</v>
      </c>
      <c r="L488" s="242">
        <v>8.120000000000001</v>
      </c>
      <c r="M488" s="242">
        <v>112.63</v>
      </c>
      <c r="N488" s="243">
        <v>0.0</v>
      </c>
      <c r="O488" s="240">
        <v>0.0</v>
      </c>
      <c r="P488" s="240">
        <v>0.0</v>
      </c>
      <c r="Q488" s="240">
        <v>0.0</v>
      </c>
      <c r="R488" s="240">
        <v>0.0</v>
      </c>
    </row>
    <row r="489">
      <c r="A489" s="236">
        <v>42801.0</v>
      </c>
      <c r="B489" s="33">
        <f>1225.75/69394.35</f>
        <v>0.01766354177</v>
      </c>
      <c r="C489" s="33">
        <v>0.012</v>
      </c>
      <c r="D489" s="9">
        <v>0.029663541772493005</v>
      </c>
      <c r="E489" s="9">
        <v>-0.009114718993693285</v>
      </c>
      <c r="F489" s="237">
        <v>-2013.6003678562438</v>
      </c>
      <c r="G489" s="237">
        <v>6553.193649342357</v>
      </c>
      <c r="H489" s="240">
        <v>0.0</v>
      </c>
      <c r="I489" s="241">
        <v>3.848</v>
      </c>
      <c r="J489" s="242">
        <v>42.687</v>
      </c>
      <c r="K489" s="242">
        <v>182.89000000000001</v>
      </c>
      <c r="L489" s="242">
        <v>8.120000000000001</v>
      </c>
      <c r="M489" s="242">
        <v>110.8</v>
      </c>
      <c r="N489" s="243">
        <v>0.0</v>
      </c>
      <c r="O489" s="240">
        <v>0.0</v>
      </c>
      <c r="P489" s="240">
        <v>0.0</v>
      </c>
      <c r="Q489" s="240">
        <v>0.0</v>
      </c>
      <c r="R489" s="240">
        <v>0.0</v>
      </c>
    </row>
    <row r="490">
      <c r="A490" s="236">
        <v>42786.0</v>
      </c>
      <c r="B490" s="33">
        <f>1858.26/69394.35</f>
        <v>0.02677826077</v>
      </c>
      <c r="C490" s="33">
        <v>0.012</v>
      </c>
      <c r="D490" s="9">
        <v>0.03877826076618629</v>
      </c>
      <c r="E490" s="9">
        <v>7.017862405224451E-5</v>
      </c>
      <c r="F490" s="237">
        <v>15.50368182551938</v>
      </c>
      <c r="G490" s="237">
        <v>8566.794017198601</v>
      </c>
      <c r="H490" s="240">
        <v>0.0</v>
      </c>
      <c r="I490" s="241">
        <v>3.897</v>
      </c>
      <c r="J490" s="242">
        <v>42.233000000000004</v>
      </c>
      <c r="K490" s="242">
        <v>183.23</v>
      </c>
      <c r="L490" s="242">
        <v>8.24</v>
      </c>
      <c r="M490" s="242">
        <v>112.19</v>
      </c>
      <c r="N490" s="243">
        <v>0.0</v>
      </c>
      <c r="O490" s="240">
        <v>0.0</v>
      </c>
      <c r="P490" s="240">
        <v>0.0</v>
      </c>
      <c r="Q490" s="240">
        <v>0.0</v>
      </c>
      <c r="R490" s="240">
        <v>0.0</v>
      </c>
    </row>
    <row r="491">
      <c r="A491" s="236">
        <v>42776.0</v>
      </c>
      <c r="B491" s="33">
        <f>1853.39/69394.35</f>
        <v>0.02670808214</v>
      </c>
      <c r="C491" s="33">
        <v>0.012</v>
      </c>
      <c r="D491" s="9">
        <v>0.038708082142134045</v>
      </c>
      <c r="E491" s="9">
        <v>0.011948226836911068</v>
      </c>
      <c r="F491" s="237">
        <v>2639.5716610332156</v>
      </c>
      <c r="G491" s="237">
        <v>8551.290335373082</v>
      </c>
      <c r="H491" s="240">
        <v>0.0</v>
      </c>
      <c r="I491" s="241">
        <v>3.917</v>
      </c>
      <c r="J491" s="242">
        <v>41.322</v>
      </c>
      <c r="K491" s="242">
        <v>182.98</v>
      </c>
      <c r="L491" s="242">
        <v>8.4</v>
      </c>
      <c r="M491" s="242">
        <v>111.63</v>
      </c>
      <c r="N491" s="243">
        <v>0.0</v>
      </c>
      <c r="O491" s="240">
        <v>0.0</v>
      </c>
      <c r="P491" s="240">
        <v>0.0</v>
      </c>
      <c r="Q491" s="240">
        <v>0.0</v>
      </c>
      <c r="R491" s="240">
        <v>0.0</v>
      </c>
    </row>
    <row r="492">
      <c r="A492" s="236">
        <v>42766.0</v>
      </c>
      <c r="B492" s="33">
        <f>1031.19/69394.35</f>
        <v>0.01485985531</v>
      </c>
      <c r="C492" s="33">
        <v>0.0119</v>
      </c>
      <c r="D492" s="9">
        <v>0.026759855305222978</v>
      </c>
      <c r="E492" s="9">
        <v>0.006180681136144374</v>
      </c>
      <c r="F492" s="237">
        <v>1365.4202414746715</v>
      </c>
      <c r="G492" s="237">
        <v>5911.718674339866</v>
      </c>
      <c r="H492" s="240">
        <v>0.0</v>
      </c>
      <c r="I492" s="241">
        <v>3.891</v>
      </c>
      <c r="J492" s="242">
        <v>39.944</v>
      </c>
      <c r="K492" s="242">
        <v>179.96</v>
      </c>
      <c r="L492" s="242">
        <v>8.225</v>
      </c>
      <c r="M492" s="242">
        <v>108.16</v>
      </c>
      <c r="N492" s="243">
        <v>0.0</v>
      </c>
      <c r="O492" s="240">
        <v>0.0</v>
      </c>
      <c r="P492" s="240">
        <v>0.0</v>
      </c>
      <c r="Q492" s="240">
        <v>0.0</v>
      </c>
      <c r="R492" s="240">
        <v>0.0</v>
      </c>
    </row>
    <row r="493">
      <c r="A493" s="236">
        <v>42691.0</v>
      </c>
      <c r="B493" s="33">
        <f>671.68/69394.35</f>
        <v>0.009679174169</v>
      </c>
      <c r="C493" s="33">
        <v>0.0109</v>
      </c>
      <c r="D493" s="9">
        <v>0.020579174169078604</v>
      </c>
      <c r="E493" s="9">
        <v>6.585550552746372E-5</v>
      </c>
      <c r="F493" s="237">
        <v>14.548629557007189</v>
      </c>
      <c r="G493" s="237">
        <v>4546.298432865195</v>
      </c>
      <c r="H493" s="240">
        <v>0.0</v>
      </c>
      <c r="I493" s="241">
        <v>3.973</v>
      </c>
      <c r="J493" s="242">
        <v>39.012</v>
      </c>
      <c r="K493" s="242">
        <v>183.89000000000001</v>
      </c>
      <c r="L493" s="242">
        <v>8.225</v>
      </c>
      <c r="M493" s="242">
        <v>110.69</v>
      </c>
      <c r="N493" s="243">
        <v>0.0</v>
      </c>
      <c r="O493" s="240">
        <v>0.0</v>
      </c>
      <c r="P493" s="240">
        <v>0.0</v>
      </c>
      <c r="Q493" s="240">
        <v>0.0</v>
      </c>
      <c r="R493" s="240">
        <v>0.0</v>
      </c>
    </row>
    <row r="494">
      <c r="A494" s="236">
        <v>42689.0</v>
      </c>
      <c r="B494" s="33">
        <f>667.11/69394.35</f>
        <v>0.009613318664</v>
      </c>
      <c r="C494" s="33">
        <v>0.0109</v>
      </c>
      <c r="D494" s="9">
        <v>0.02051331866355114</v>
      </c>
      <c r="E494" s="9">
        <v>0.0020854479507337424</v>
      </c>
      <c r="F494" s="237">
        <v>460.7118182851377</v>
      </c>
      <c r="G494" s="237">
        <v>4531.749803308187</v>
      </c>
      <c r="H494" s="240">
        <v>0.0</v>
      </c>
      <c r="I494" s="241">
        <v>3.988</v>
      </c>
      <c r="J494" s="242">
        <v>38.502</v>
      </c>
      <c r="K494" s="242">
        <v>182.79</v>
      </c>
      <c r="L494" s="242">
        <v>7.91</v>
      </c>
      <c r="M494" s="242">
        <v>109.79</v>
      </c>
      <c r="N494" s="243">
        <v>0.0</v>
      </c>
      <c r="O494" s="240">
        <v>0.0</v>
      </c>
      <c r="P494" s="240">
        <v>0.0</v>
      </c>
      <c r="Q494" s="240">
        <v>0.0</v>
      </c>
      <c r="R494" s="240">
        <v>0.0</v>
      </c>
    </row>
    <row r="495">
      <c r="A495" s="236">
        <v>42612.0</v>
      </c>
      <c r="B495" s="33">
        <f>543.21/69394.35</f>
        <v>0.007827870713</v>
      </c>
      <c r="C495" s="33">
        <v>0.0106</v>
      </c>
      <c r="D495" s="9">
        <v>0.018427870712817398</v>
      </c>
      <c r="E495" s="9">
        <v>6.677288568882056E-4</v>
      </c>
      <c r="F495" s="237">
        <v>147.51294831893802</v>
      </c>
      <c r="G495" s="237">
        <v>4071.0379850230497</v>
      </c>
      <c r="H495" s="240">
        <v>0.0</v>
      </c>
      <c r="I495" s="241">
        <v>4.54</v>
      </c>
      <c r="J495" s="242">
        <v>37.169000000000004</v>
      </c>
      <c r="K495" s="242">
        <v>185.77</v>
      </c>
      <c r="L495" s="242">
        <v>7.86</v>
      </c>
      <c r="M495" s="242">
        <v>113.84</v>
      </c>
      <c r="N495" s="243">
        <v>0.0</v>
      </c>
      <c r="O495" s="240">
        <v>0.0</v>
      </c>
      <c r="P495" s="240">
        <v>0.0</v>
      </c>
      <c r="Q495" s="240">
        <v>0.0</v>
      </c>
      <c r="R495" s="240">
        <v>0.0</v>
      </c>
    </row>
    <row r="496">
      <c r="A496" s="236">
        <v>42594.0</v>
      </c>
      <c r="B496" s="33">
        <f>538.51/69394.35</f>
        <v>0.007760141856</v>
      </c>
      <c r="C496" s="33">
        <v>0.01</v>
      </c>
      <c r="D496" s="9">
        <v>0.017760141855929192</v>
      </c>
      <c r="E496" s="9">
        <v>0.001067584752937379</v>
      </c>
      <c r="F496" s="237">
        <v>235.8480884292594</v>
      </c>
      <c r="G496" s="237">
        <v>3923.5250367041117</v>
      </c>
      <c r="H496" s="240">
        <v>0.0</v>
      </c>
      <c r="I496" s="241">
        <v>4.562</v>
      </c>
      <c r="J496" s="242">
        <v>37.228</v>
      </c>
      <c r="K496" s="242">
        <v>186.51</v>
      </c>
      <c r="L496" s="242">
        <v>7.640000000000001</v>
      </c>
      <c r="M496" s="242">
        <v>117.10000000000001</v>
      </c>
      <c r="N496" s="243">
        <v>0.0</v>
      </c>
      <c r="O496" s="240">
        <v>0.0</v>
      </c>
      <c r="P496" s="240">
        <v>0.0</v>
      </c>
      <c r="Q496" s="240">
        <v>0.0</v>
      </c>
      <c r="R496" s="240">
        <v>0.0</v>
      </c>
    </row>
    <row r="497">
      <c r="A497" s="236">
        <v>42562.0</v>
      </c>
      <c r="B497" s="33">
        <f>533.82/69394.35</f>
        <v>0.007692557103</v>
      </c>
      <c r="C497" s="33">
        <v>0.009</v>
      </c>
      <c r="D497" s="9">
        <v>0.016692557102991813</v>
      </c>
      <c r="E497" s="9">
        <v>9.975502328359587E-4</v>
      </c>
      <c r="F497" s="237">
        <v>220.3762416793561</v>
      </c>
      <c r="G497" s="237">
        <v>3687.6769482748523</v>
      </c>
      <c r="H497" s="240">
        <v>0.0</v>
      </c>
      <c r="I497" s="241">
        <v>4.62</v>
      </c>
      <c r="J497" s="242">
        <v>36.873</v>
      </c>
      <c r="K497" s="242">
        <v>189.67000000000002</v>
      </c>
      <c r="L497" s="242">
        <v>7.640000000000001</v>
      </c>
      <c r="M497" s="242">
        <v>118.72</v>
      </c>
      <c r="N497" s="243">
        <v>0.0</v>
      </c>
      <c r="O497" s="240">
        <v>0.0</v>
      </c>
      <c r="P497" s="240">
        <v>0.0</v>
      </c>
      <c r="Q497" s="240">
        <v>0.0</v>
      </c>
      <c r="R497" s="240">
        <v>0.0</v>
      </c>
    </row>
    <row r="498">
      <c r="A498" s="236">
        <v>42559.0</v>
      </c>
      <c r="B498" s="33">
        <f>533.99/69394.35</f>
        <v>0.00769500687</v>
      </c>
      <c r="C498" s="33">
        <v>0.008</v>
      </c>
      <c r="D498" s="9">
        <v>0.015695006870155855</v>
      </c>
      <c r="E498" s="9">
        <v>0.0022055736526100465</v>
      </c>
      <c r="F498" s="237">
        <v>487.2496805773799</v>
      </c>
      <c r="G498" s="237">
        <v>3467.300706595496</v>
      </c>
      <c r="H498" s="240">
        <v>0.0</v>
      </c>
      <c r="I498" s="241">
        <v>4.638</v>
      </c>
      <c r="J498" s="242">
        <v>36.558</v>
      </c>
      <c r="K498" s="242">
        <v>190.02</v>
      </c>
      <c r="L498" s="242">
        <v>7.96</v>
      </c>
      <c r="M498" s="242">
        <v>118.48</v>
      </c>
      <c r="N498" s="243">
        <v>0.0</v>
      </c>
      <c r="O498" s="240">
        <v>0.0</v>
      </c>
      <c r="P498" s="240">
        <v>0.0</v>
      </c>
      <c r="Q498" s="240">
        <v>0.0</v>
      </c>
      <c r="R498" s="240">
        <v>0.0</v>
      </c>
    </row>
    <row r="499">
      <c r="A499" s="236">
        <v>42539.0</v>
      </c>
      <c r="B499" s="33">
        <f>450.33/69394.35</f>
        <v>0.006489433218</v>
      </c>
      <c r="C499" s="33">
        <v>0.007</v>
      </c>
      <c r="D499" s="9">
        <v>0.013489433217545808</v>
      </c>
      <c r="E499" s="9">
        <v>0.0010680170647898567</v>
      </c>
      <c r="F499" s="237">
        <v>235.9435936561108</v>
      </c>
      <c r="G499" s="237">
        <v>2980.0510260181163</v>
      </c>
      <c r="H499" s="240">
        <v>0.0</v>
      </c>
      <c r="I499" s="241">
        <v>4.343</v>
      </c>
      <c r="J499" s="242">
        <v>35.186</v>
      </c>
      <c r="K499" s="242">
        <v>181.35</v>
      </c>
      <c r="L499" s="242">
        <v>8.01</v>
      </c>
      <c r="M499" s="242">
        <v>109.67</v>
      </c>
      <c r="N499" s="243">
        <v>0.0</v>
      </c>
      <c r="O499" s="240">
        <v>0.0</v>
      </c>
      <c r="P499" s="240">
        <v>0.0</v>
      </c>
      <c r="Q499" s="240">
        <v>0.0</v>
      </c>
      <c r="R499" s="240">
        <v>0.0</v>
      </c>
    </row>
    <row r="500">
      <c r="A500" s="236">
        <v>42535.0</v>
      </c>
      <c r="B500" s="33">
        <f>445.61/69394.35</f>
        <v>0.006421416153</v>
      </c>
      <c r="C500" s="33">
        <v>0.006</v>
      </c>
      <c r="D500" s="9">
        <v>0.012421416152755951</v>
      </c>
      <c r="E500" s="9">
        <v>-0.00599941709951891</v>
      </c>
      <c r="F500" s="237">
        <v>-1325.375854908208</v>
      </c>
      <c r="G500" s="237">
        <v>2744.1074323620055</v>
      </c>
      <c r="H500" s="240">
        <v>0.0</v>
      </c>
      <c r="I500" s="241">
        <v>4.075</v>
      </c>
      <c r="J500" s="242">
        <v>35.173</v>
      </c>
      <c r="K500" s="242">
        <v>184.02</v>
      </c>
      <c r="L500" s="242">
        <v>8.01</v>
      </c>
      <c r="M500" s="242">
        <v>110.44</v>
      </c>
      <c r="N500" s="243">
        <v>0.0</v>
      </c>
      <c r="O500" s="240">
        <v>0.0</v>
      </c>
      <c r="P500" s="240">
        <v>0.0</v>
      </c>
      <c r="Q500" s="240">
        <v>0.0</v>
      </c>
      <c r="R500" s="240">
        <v>0.0</v>
      </c>
    </row>
    <row r="501">
      <c r="A501" s="236">
        <v>42433.0</v>
      </c>
      <c r="B501" s="33">
        <f>931.33/69394.35</f>
        <v>0.01342083325</v>
      </c>
      <c r="C501" s="33">
        <v>0.005</v>
      </c>
      <c r="D501" s="9">
        <v>0.018420833252274862</v>
      </c>
      <c r="E501" s="9">
        <v>0.01698228097820644</v>
      </c>
      <c r="F501" s="237">
        <v>3751.682004504514</v>
      </c>
      <c r="G501" s="237">
        <v>4069.4832872702136</v>
      </c>
      <c r="H501" s="240">
        <v>0.0</v>
      </c>
      <c r="I501" s="241">
        <v>4.075</v>
      </c>
      <c r="J501" s="242">
        <v>34.659</v>
      </c>
      <c r="K501" s="242">
        <v>183.54</v>
      </c>
      <c r="L501" s="242">
        <v>7.235</v>
      </c>
      <c r="M501" s="242">
        <v>111.5</v>
      </c>
      <c r="N501" s="243">
        <v>0.0</v>
      </c>
      <c r="O501" s="240">
        <v>0.0</v>
      </c>
      <c r="P501" s="240">
        <v>0.0</v>
      </c>
      <c r="Q501" s="240">
        <v>0.0</v>
      </c>
      <c r="R501" s="240">
        <v>0.0</v>
      </c>
    </row>
    <row r="502">
      <c r="A502" s="236">
        <v>42389.0</v>
      </c>
      <c r="B502" s="33">
        <f>-177.75/69394.35</f>
        <v>-0.002561447726</v>
      </c>
      <c r="C502" s="33">
        <v>0.004</v>
      </c>
      <c r="D502" s="9">
        <v>0.001438552274068422</v>
      </c>
      <c r="E502" s="9">
        <v>0.0011275319964809813</v>
      </c>
      <c r="F502" s="237">
        <v>249.0914798859667</v>
      </c>
      <c r="G502" s="237">
        <v>317.8012827656995</v>
      </c>
      <c r="H502" s="240">
        <v>0.0</v>
      </c>
      <c r="I502" s="241">
        <v>4.075</v>
      </c>
      <c r="J502" s="242">
        <v>32.026</v>
      </c>
      <c r="K502" s="242">
        <v>184.25</v>
      </c>
      <c r="L502" s="242">
        <v>6.795</v>
      </c>
      <c r="M502" s="242">
        <v>97.71000000000001</v>
      </c>
      <c r="N502" s="243">
        <v>0.0</v>
      </c>
      <c r="O502" s="240">
        <v>0.0</v>
      </c>
      <c r="P502" s="240">
        <v>0.0</v>
      </c>
      <c r="Q502" s="240">
        <v>0.0</v>
      </c>
      <c r="R502" s="240">
        <v>0.0</v>
      </c>
    </row>
    <row r="503">
      <c r="A503" s="236">
        <v>42348.0</v>
      </c>
      <c r="B503" s="33">
        <f>-186.6/69394.35</f>
        <v>-0.002688979722</v>
      </c>
      <c r="C503" s="33">
        <v>0.003</v>
      </c>
      <c r="D503" s="9">
        <v>3.1102027758744084E-4</v>
      </c>
      <c r="E503" s="9">
        <v>7.120803062497165E-4</v>
      </c>
      <c r="F503" s="237">
        <v>157.31095688191067</v>
      </c>
      <c r="G503" s="237">
        <v>68.7098028797328</v>
      </c>
      <c r="H503" s="240">
        <v>0.0</v>
      </c>
      <c r="I503" s="241">
        <v>4.075</v>
      </c>
      <c r="J503" s="242">
        <v>35.814</v>
      </c>
      <c r="K503" s="242">
        <v>179.35</v>
      </c>
      <c r="L503" s="242">
        <v>7.365</v>
      </c>
      <c r="M503" s="242">
        <v>94.84</v>
      </c>
      <c r="N503" s="243">
        <v>0.0</v>
      </c>
      <c r="O503" s="240">
        <v>0.0</v>
      </c>
      <c r="P503" s="240">
        <v>0.0</v>
      </c>
      <c r="Q503" s="240">
        <v>0.0</v>
      </c>
      <c r="R503" s="240">
        <v>0.0</v>
      </c>
    </row>
    <row r="504">
      <c r="A504" s="236">
        <v>42312.0</v>
      </c>
      <c r="B504" s="33">
        <f>-166.62/69394.35</f>
        <v>-0.002401060029</v>
      </c>
      <c r="C504" s="33">
        <v>0.002</v>
      </c>
      <c r="D504" s="9">
        <v>-4.0106002866227564E-4</v>
      </c>
      <c r="E504" s="9">
        <v>0.002510353508606969</v>
      </c>
      <c r="F504" s="237">
        <v>554.5808655075149</v>
      </c>
      <c r="G504" s="237">
        <v>-88.60115400217785</v>
      </c>
      <c r="H504" s="240">
        <v>0.0</v>
      </c>
      <c r="I504" s="241">
        <v>4.075</v>
      </c>
      <c r="J504" s="242">
        <v>36.805</v>
      </c>
      <c r="K504" s="242">
        <v>181.97</v>
      </c>
      <c r="L504" s="242">
        <v>8.105</v>
      </c>
      <c r="M504" s="242">
        <v>99.15</v>
      </c>
      <c r="N504" s="243">
        <v>0.0</v>
      </c>
      <c r="O504" s="240">
        <v>0.0</v>
      </c>
      <c r="P504" s="240">
        <v>0.0</v>
      </c>
      <c r="Q504" s="240">
        <v>0.0</v>
      </c>
      <c r="R504" s="240">
        <v>0.0</v>
      </c>
    </row>
    <row r="505">
      <c r="A505" s="236">
        <v>42310.0</v>
      </c>
      <c r="B505" s="33">
        <f>-271.43/69394.35</f>
        <v>-0.003911413537</v>
      </c>
      <c r="C505" s="33">
        <v>0.001</v>
      </c>
      <c r="D505" s="9">
        <v>-0.0029114135372692446</v>
      </c>
      <c r="E505" s="9">
        <v>-0.0029114135372692446</v>
      </c>
      <c r="F505" s="237">
        <v>-643.1820195096927</v>
      </c>
      <c r="G505" s="237">
        <v>-643.1820195096927</v>
      </c>
      <c r="H505" s="240">
        <v>0.0</v>
      </c>
      <c r="I505" s="241">
        <v>4.075</v>
      </c>
      <c r="J505" s="242">
        <v>36.091</v>
      </c>
      <c r="K505" s="242">
        <v>180.15</v>
      </c>
      <c r="L505" s="242">
        <v>8.105</v>
      </c>
      <c r="M505" s="242">
        <v>99.59</v>
      </c>
      <c r="N505" s="243">
        <v>0.0</v>
      </c>
      <c r="O505" s="240">
        <v>0.0</v>
      </c>
      <c r="P505" s="240">
        <v>0.0</v>
      </c>
      <c r="Q505" s="240">
        <v>0.0</v>
      </c>
      <c r="R505" s="240">
        <v>0.0</v>
      </c>
    </row>
    <row r="506">
      <c r="A506" s="236">
        <v>42303.0</v>
      </c>
      <c r="B506" s="33">
        <v>0.0</v>
      </c>
      <c r="C506" s="33">
        <v>0.0</v>
      </c>
      <c r="D506" s="9">
        <v>0.0</v>
      </c>
      <c r="E506" s="9">
        <v>0.0</v>
      </c>
      <c r="F506" s="237">
        <v>0.0</v>
      </c>
      <c r="G506" s="237">
        <v>0.0</v>
      </c>
      <c r="H506" s="240">
        <v>0.0</v>
      </c>
      <c r="I506" s="241">
        <v>4.075</v>
      </c>
      <c r="J506" s="242">
        <v>35.652</v>
      </c>
      <c r="K506" s="242">
        <v>181.4</v>
      </c>
      <c r="L506" s="242">
        <v>7.98</v>
      </c>
      <c r="M506" s="242">
        <v>102.16</v>
      </c>
      <c r="N506" s="243">
        <v>0.0</v>
      </c>
      <c r="O506" s="240">
        <v>0.0</v>
      </c>
      <c r="P506" s="240">
        <v>0.0</v>
      </c>
      <c r="Q506" s="240">
        <v>0.0</v>
      </c>
      <c r="R506" s="240">
        <v>0.0</v>
      </c>
    </row>
  </sheetData>
  <conditionalFormatting sqref="E1:E506">
    <cfRule type="cellIs" dxfId="15" priority="1" operator="greaterThanOrEqual">
      <formula>0</formula>
    </cfRule>
  </conditionalFormatting>
  <conditionalFormatting sqref="E1:E506">
    <cfRule type="cellIs" dxfId="16" priority="2" operator="lessThan">
      <formula>0</formula>
    </cfRule>
  </conditionalFormatting>
  <conditionalFormatting sqref="H2:H506 N2:R506">
    <cfRule type="expression" dxfId="17" priority="3">
      <formula>H2&lt;AVERAGEIFS(H:H,H:H,"&lt;0",H:H,"&gt;-0.03")*2</formula>
    </cfRule>
  </conditionalFormatting>
  <conditionalFormatting sqref="H2:H506 N2:R506">
    <cfRule type="expression" dxfId="18" priority="4">
      <formula>H2&gt;AVERAGEIFS(H:H,H:H,"&gt;0",H:H,"&lt;0.03")*2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2.75"/>
  <cols>
    <col customWidth="1" hidden="1" min="1" max="1" width="8.14"/>
    <col customWidth="1" hidden="1" min="2" max="2" width="14.29"/>
    <col customWidth="1" hidden="1" min="3" max="3" width="12.0"/>
    <col customWidth="1" hidden="1" min="4" max="4" width="3.57"/>
    <col customWidth="1" hidden="1" min="5" max="5" width="14.57"/>
    <col customWidth="1" min="6" max="6" width="31.0"/>
    <col customWidth="1" hidden="1" min="7" max="7" width="23.0"/>
    <col customWidth="1" min="8" max="8" width="9.43"/>
    <col customWidth="1" hidden="1" min="9" max="9" width="9.43"/>
    <col customWidth="1" min="10" max="10" width="9.0"/>
    <col customWidth="1" hidden="1" min="11" max="11" width="9.0"/>
    <col customWidth="1" min="12" max="12" width="18.29"/>
    <col customWidth="1" min="13" max="13" width="12.0"/>
    <col customWidth="1" hidden="1" min="14" max="14" width="13.43"/>
    <col customWidth="1" min="15" max="15" width="14.0"/>
    <col customWidth="1" min="16" max="16" width="11.86"/>
    <col customWidth="1" min="17" max="17" width="13.29"/>
    <col customWidth="1" min="18" max="18" width="10.86"/>
    <col customWidth="1" min="19" max="19" width="15.57"/>
    <col customWidth="1" min="20" max="20" width="12.0"/>
    <col customWidth="1" min="21" max="21" width="10.14"/>
    <col customWidth="1" min="22" max="22" width="21.86"/>
    <col customWidth="1" min="23" max="23" width="22.86"/>
    <col customWidth="1" min="24" max="24" width="19.86"/>
    <col customWidth="1" min="25" max="25" width="19.43"/>
    <col customWidth="1" min="26" max="26" width="21.57"/>
    <col customWidth="1" min="27" max="27" width="19.43"/>
    <col customWidth="1" min="28" max="28" width="24.43"/>
    <col customWidth="1" min="29" max="29" width="43.29"/>
    <col customWidth="1" min="30" max="30" width="23.86"/>
    <col customWidth="1" min="31" max="31" width="10.71"/>
    <col customWidth="1" min="32" max="32" width="23.43"/>
    <col customWidth="1" min="33" max="33" width="30.43"/>
    <col customWidth="1" min="34" max="34" width="29.71"/>
    <col customWidth="1" min="35" max="35" width="33.71"/>
    <col customWidth="1" min="36" max="36" width="15.86"/>
    <col customWidth="1" min="37" max="38" width="16.86"/>
    <col customWidth="1" min="39" max="39" width="15.14"/>
    <col customWidth="1" min="40" max="40" width="22.29"/>
    <col customWidth="1" min="41" max="41" width="20.43"/>
  </cols>
  <sheetData>
    <row r="1">
      <c r="A1" s="17" t="s">
        <v>723</v>
      </c>
      <c r="B1" s="17" t="s">
        <v>242</v>
      </c>
      <c r="C1" s="17" t="s">
        <v>724</v>
      </c>
      <c r="D1" s="17" t="s">
        <v>725</v>
      </c>
      <c r="E1" s="17" t="s">
        <v>726</v>
      </c>
      <c r="F1" s="251" t="s">
        <v>239</v>
      </c>
      <c r="G1" s="17" t="s">
        <v>36</v>
      </c>
      <c r="H1" s="22" t="s">
        <v>49</v>
      </c>
      <c r="I1" s="22"/>
      <c r="J1" s="252" t="s">
        <v>260</v>
      </c>
      <c r="K1" s="252"/>
      <c r="L1" s="17" t="s">
        <v>227</v>
      </c>
      <c r="M1" s="17" t="s">
        <v>50</v>
      </c>
      <c r="N1" s="17" t="s">
        <v>727</v>
      </c>
      <c r="O1" s="17" t="s">
        <v>728</v>
      </c>
      <c r="P1" s="17" t="s">
        <v>729</v>
      </c>
      <c r="Q1" s="17" t="s">
        <v>730</v>
      </c>
      <c r="R1" s="17" t="s">
        <v>731</v>
      </c>
      <c r="S1" s="253" t="s">
        <v>732</v>
      </c>
      <c r="T1" s="17" t="s">
        <v>733</v>
      </c>
      <c r="U1" s="254" t="s">
        <v>18</v>
      </c>
      <c r="V1" s="20" t="s">
        <v>734</v>
      </c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</row>
    <row r="2">
      <c r="A2" s="255" t="s">
        <v>735</v>
      </c>
      <c r="B2" s="255" t="s">
        <v>736</v>
      </c>
      <c r="C2" s="255" t="str">
        <f t="shared" ref="C2:C36" si="1">SWITCH(B2,"AMS","NA","FRA","TH","NYSEARCA","US","NASDAQ","US","EPA","FP","BATS","US","LON","LN")</f>
        <v>US</v>
      </c>
      <c r="D2" s="256" t="s">
        <v>737</v>
      </c>
      <c r="E2" s="257" t="s">
        <v>738</v>
      </c>
      <c r="F2" s="258" t="s">
        <v>739</v>
      </c>
      <c r="G2" s="258" t="s">
        <v>374</v>
      </c>
      <c r="H2" s="259">
        <v>121.51</v>
      </c>
      <c r="I2" s="259">
        <v>121.51</v>
      </c>
      <c r="J2" s="259"/>
      <c r="K2" s="260"/>
      <c r="L2" s="261">
        <v>43467.63053008102</v>
      </c>
      <c r="M2" s="256">
        <f>Dashboard!$B$11*SUMIFS(Investment!$F:$F,Investment!$E:$E,$G2)</f>
        <v>32129.64926</v>
      </c>
      <c r="N2" s="262">
        <f t="shared" ref="N2:N36" si="2">IFERROR(__xludf.DUMMYFUNCTION("IFERROR(IF(ISTEXT(INDEX(SPLIT($AD2,INDEX(SPLIT(N$1,"" ""),1,2),False),1,2)),,INDEX(SPLIT($AD2,INDEX(SPLIT(N$1,"" ""),1,2),False),1,2)),TODAY()-2500)"),37463.0)</f>
        <v>37463</v>
      </c>
      <c r="O2" s="263">
        <f t="shared" ref="O2:O36" si="3">IFERROR(__xludf.DUMMYFUNCTION("IFS(DATEDIF(MAXIFS(N:N,G:G,G2),TODAY(),""D"")/365.25&gt;=5,INDEX(SPLIT($AA2,INDEX(SPLIT(O$1,"" ""),1,2),False),1,2),DATEDIF(MAXIFS(N:N,G:G,G2),TODAY(),""D"")/365.25&gt;=3,INDEX(SPLIT($Z2,INDEX(SPLIT(O$1,"" ""),1,2),False),1,2),DATEDIF(MAXIFS(N:N,G:G,G2),TODAY()"&amp;",""D"")/365.25&gt;=1,INDEX(SPLIT($Y2,INDEX(SPLIT(O$1,"" ""),1,2),False),1,2))"),0.0281)</f>
        <v>0.0281</v>
      </c>
      <c r="P2" s="264">
        <f t="shared" ref="P2:P36" si="4">IFERROR(__xludf.DUMMYFUNCTION("IF(ISTEXT(INDEX(SPLIT($AI2,INDEX(SPLIT(P$1,"" ""),1,2),False),1,2)),,INDEX(SPLIT($AI2,INDEX(SPLIT(P$1,"" ""),1,2),False),1,2))"),0.0278)</f>
        <v>0.0278</v>
      </c>
      <c r="Q2" s="264">
        <f t="shared" ref="Q2:Q36" si="5">IFERROR(__xludf.DUMMYFUNCTION("IF(ISTEXT(INDEX(SPLIT($AO2,INDEX(SPLIT(Q$1,"" ""),1,2),False),1,2)),,INDEX(SPLIT($AO2,INDEX(SPLIT(Q$1,"" ""),1,2),False),1,2))"),0.0015)</f>
        <v>0.0015</v>
      </c>
      <c r="R2" s="264">
        <f t="shared" ref="R2:R36" si="6">IF(OR(C2="US",C2="LN"),0.002,)+IF(D2="",0.0004,)</f>
        <v>0.002</v>
      </c>
      <c r="S2" s="265">
        <f t="shared" ref="S2:S36" si="7">IFERROR(__xludf.DUMMYFUNCTION("IF(ISTEXT(INDEX(SPLIT($AH2,INDEX(SPLIT(S$1,"" ""),1,2),False),1,2)),,INDEX(SPLIT($AH2,INDEX(SPLIT(S$1,"" ""),1,2),False),1,2))"),0.281892)</f>
        <v>0.281892</v>
      </c>
      <c r="T2" s="266">
        <f>$M2*(($O2+$P2-$Q2)*Dashboard!$B$10/12-$R2)</f>
        <v>1065.085778</v>
      </c>
      <c r="U2" s="267">
        <f t="shared" ref="U2:U36" si="8">T2/M2</f>
        <v>0.03314962355</v>
      </c>
      <c r="V2" s="255" t="s">
        <v>741</v>
      </c>
      <c r="W2" s="255" t="s">
        <v>742</v>
      </c>
      <c r="X2" s="255" t="s">
        <v>743</v>
      </c>
      <c r="Y2" s="255" t="s">
        <v>744</v>
      </c>
      <c r="Z2" s="255" t="s">
        <v>745</v>
      </c>
      <c r="AA2" s="255" t="s">
        <v>746</v>
      </c>
      <c r="AB2" s="255" t="s">
        <v>747</v>
      </c>
      <c r="AC2" s="255" t="s">
        <v>748</v>
      </c>
      <c r="AD2" s="255" t="s">
        <v>749</v>
      </c>
      <c r="AE2" s="255"/>
      <c r="AF2" s="255" t="s">
        <v>750</v>
      </c>
      <c r="AG2" s="255" t="s">
        <v>751</v>
      </c>
      <c r="AH2" s="255" t="s">
        <v>752</v>
      </c>
      <c r="AI2" s="255" t="s">
        <v>753</v>
      </c>
      <c r="AJ2" s="255" t="s">
        <v>754</v>
      </c>
      <c r="AK2" s="255" t="s">
        <v>755</v>
      </c>
      <c r="AL2" s="255" t="s">
        <v>756</v>
      </c>
      <c r="AM2" s="255" t="s">
        <v>757</v>
      </c>
      <c r="AN2" s="255" t="s">
        <v>758</v>
      </c>
      <c r="AO2" s="255" t="s">
        <v>759</v>
      </c>
    </row>
    <row r="3">
      <c r="A3" s="255" t="s">
        <v>760</v>
      </c>
      <c r="B3" s="255" t="s">
        <v>761</v>
      </c>
      <c r="C3" s="255" t="str">
        <f t="shared" si="1"/>
        <v>US</v>
      </c>
      <c r="D3" s="256" t="s">
        <v>737</v>
      </c>
      <c r="E3" s="257" t="s">
        <v>762</v>
      </c>
      <c r="F3" s="258" t="s">
        <v>763</v>
      </c>
      <c r="G3" s="258" t="s">
        <v>374</v>
      </c>
      <c r="H3" s="259">
        <v>22.39</v>
      </c>
      <c r="I3" s="259">
        <v>22.39</v>
      </c>
      <c r="J3" s="259"/>
      <c r="K3" s="260"/>
      <c r="L3" s="261">
        <v>43467.63063153935</v>
      </c>
      <c r="M3" s="256">
        <f>Dashboard!$B$11*SUMIFS(Investment!$F:$F,Investment!$E:$E,$G3)</f>
        <v>32129.64926</v>
      </c>
      <c r="N3" s="262">
        <f t="shared" si="2"/>
        <v>40045</v>
      </c>
      <c r="O3" s="263">
        <f t="shared" si="3"/>
        <v>-0.0298</v>
      </c>
      <c r="P3" s="264">
        <f t="shared" si="4"/>
        <v>0.0155</v>
      </c>
      <c r="Q3" s="264">
        <f t="shared" si="5"/>
        <v>0.0094</v>
      </c>
      <c r="R3" s="264">
        <f t="shared" si="6"/>
        <v>0.002</v>
      </c>
      <c r="S3" s="265">
        <f t="shared" si="7"/>
        <v>0.086957</v>
      </c>
      <c r="T3" s="266">
        <f>$M3*(($O3+$P3-$Q3)*Dashboard!$B$10/12-$R3)</f>
        <v>-556.2717674</v>
      </c>
      <c r="U3" s="267">
        <f t="shared" si="8"/>
        <v>-0.01731334702</v>
      </c>
      <c r="V3" s="255" t="s">
        <v>741</v>
      </c>
      <c r="W3" s="255" t="s">
        <v>765</v>
      </c>
      <c r="X3" s="255" t="s">
        <v>743</v>
      </c>
      <c r="Y3" s="255" t="s">
        <v>766</v>
      </c>
      <c r="Z3" s="255" t="s">
        <v>767</v>
      </c>
      <c r="AA3" s="255" t="s">
        <v>768</v>
      </c>
      <c r="AB3" s="255" t="s">
        <v>769</v>
      </c>
      <c r="AC3" s="255" t="s">
        <v>770</v>
      </c>
      <c r="AD3" s="255" t="s">
        <v>771</v>
      </c>
      <c r="AE3" s="255"/>
      <c r="AF3" s="255" t="s">
        <v>772</v>
      </c>
      <c r="AG3" s="255" t="s">
        <v>773</v>
      </c>
      <c r="AH3" s="255" t="s">
        <v>774</v>
      </c>
      <c r="AI3" s="255" t="s">
        <v>775</v>
      </c>
      <c r="AJ3" s="255" t="s">
        <v>754</v>
      </c>
      <c r="AK3" s="255" t="s">
        <v>755</v>
      </c>
      <c r="AL3" s="255" t="s">
        <v>756</v>
      </c>
      <c r="AM3" s="255" t="s">
        <v>757</v>
      </c>
      <c r="AN3" s="255" t="s">
        <v>776</v>
      </c>
      <c r="AO3" s="255" t="s">
        <v>777</v>
      </c>
    </row>
    <row r="4">
      <c r="A4" s="255" t="s">
        <v>778</v>
      </c>
      <c r="B4" s="255" t="s">
        <v>761</v>
      </c>
      <c r="C4" s="255" t="str">
        <f t="shared" si="1"/>
        <v>US</v>
      </c>
      <c r="D4" s="256" t="s">
        <v>737</v>
      </c>
      <c r="E4" s="257" t="s">
        <v>779</v>
      </c>
      <c r="F4" s="258" t="s">
        <v>780</v>
      </c>
      <c r="G4" s="258" t="s">
        <v>374</v>
      </c>
      <c r="H4" s="259">
        <v>35.13</v>
      </c>
      <c r="I4" s="259">
        <v>35.13</v>
      </c>
      <c r="J4" s="259"/>
      <c r="K4" s="260"/>
      <c r="L4" s="261">
        <v>43467.63074596065</v>
      </c>
      <c r="M4" s="256">
        <f>Dashboard!$B$11*SUMIFS(Investment!$F:$F,Investment!$E:$E,$G4)</f>
        <v>32129.64926</v>
      </c>
      <c r="N4" s="262">
        <f t="shared" si="2"/>
        <v>39569</v>
      </c>
      <c r="O4" s="263">
        <f t="shared" si="3"/>
        <v>-0.0698</v>
      </c>
      <c r="P4" s="264">
        <f t="shared" si="4"/>
        <v>0.0167</v>
      </c>
      <c r="Q4" s="264">
        <f t="shared" si="5"/>
        <v>0.0092</v>
      </c>
      <c r="R4" s="264">
        <f t="shared" si="6"/>
        <v>0.002</v>
      </c>
      <c r="S4" s="265">
        <f t="shared" si="7"/>
        <v>0.146708</v>
      </c>
      <c r="T4" s="266">
        <f>$M4*(($O4+$P4-$Q4)*Dashboard!$B$10/12-$R4)</f>
        <v>-1357.608531</v>
      </c>
      <c r="U4" s="267">
        <f t="shared" si="8"/>
        <v>-0.04225407255</v>
      </c>
      <c r="V4" s="255" t="s">
        <v>741</v>
      </c>
      <c r="W4" s="255" t="s">
        <v>781</v>
      </c>
      <c r="X4" s="255" t="s">
        <v>743</v>
      </c>
      <c r="Y4" s="255" t="s">
        <v>782</v>
      </c>
      <c r="Z4" s="255" t="s">
        <v>783</v>
      </c>
      <c r="AA4" s="255" t="s">
        <v>784</v>
      </c>
      <c r="AB4" s="255" t="s">
        <v>785</v>
      </c>
      <c r="AC4" s="255" t="s">
        <v>786</v>
      </c>
      <c r="AD4" s="255" t="s">
        <v>787</v>
      </c>
      <c r="AE4" s="255"/>
      <c r="AF4" s="255" t="s">
        <v>788</v>
      </c>
      <c r="AG4" s="255" t="s">
        <v>773</v>
      </c>
      <c r="AH4" s="255" t="s">
        <v>789</v>
      </c>
      <c r="AI4" s="255" t="s">
        <v>790</v>
      </c>
      <c r="AJ4" s="255" t="s">
        <v>754</v>
      </c>
      <c r="AK4" s="255" t="s">
        <v>755</v>
      </c>
      <c r="AL4" s="255" t="s">
        <v>756</v>
      </c>
      <c r="AM4" s="255" t="s">
        <v>757</v>
      </c>
      <c r="AN4" s="255" t="s">
        <v>776</v>
      </c>
      <c r="AO4" s="255" t="s">
        <v>791</v>
      </c>
    </row>
    <row r="5">
      <c r="A5" s="255" t="s">
        <v>792</v>
      </c>
      <c r="B5" s="255" t="s">
        <v>761</v>
      </c>
      <c r="C5" s="255" t="str">
        <f t="shared" si="1"/>
        <v>US</v>
      </c>
      <c r="D5" s="256" t="s">
        <v>737</v>
      </c>
      <c r="E5" s="257" t="s">
        <v>794</v>
      </c>
      <c r="F5" s="258" t="s">
        <v>472</v>
      </c>
      <c r="G5" s="258" t="s">
        <v>374</v>
      </c>
      <c r="H5" s="259">
        <v>113.46</v>
      </c>
      <c r="I5" s="259">
        <v>113.46</v>
      </c>
      <c r="J5" s="259"/>
      <c r="K5" s="260"/>
      <c r="L5" s="261">
        <v>43467.63085753472</v>
      </c>
      <c r="M5" s="256">
        <f>Dashboard!$B$11*SUMIFS(Investment!$F:$F,Investment!$E:$E,$G5)</f>
        <v>32129.64926</v>
      </c>
      <c r="N5" s="262">
        <f t="shared" si="2"/>
        <v>39429</v>
      </c>
      <c r="O5" s="263">
        <f t="shared" si="3"/>
        <v>0.0382</v>
      </c>
      <c r="P5" s="264">
        <f t="shared" si="4"/>
        <v>0.0291</v>
      </c>
      <c r="Q5" s="264">
        <f t="shared" si="5"/>
        <v>0.0007</v>
      </c>
      <c r="R5" s="264">
        <f t="shared" si="6"/>
        <v>0.002</v>
      </c>
      <c r="S5" s="265">
        <f t="shared" si="7"/>
        <v>0.8253</v>
      </c>
      <c r="T5" s="266">
        <f>$M5*(($O5+$P5-$Q5)*Dashboard!$B$10/12-$R5)</f>
        <v>1318.358019</v>
      </c>
      <c r="U5" s="267">
        <f t="shared" si="8"/>
        <v>0.04103244353</v>
      </c>
      <c r="V5" s="255" t="s">
        <v>741</v>
      </c>
      <c r="W5" s="255" t="s">
        <v>795</v>
      </c>
      <c r="X5" s="255" t="s">
        <v>743</v>
      </c>
      <c r="Y5" s="255" t="s">
        <v>796</v>
      </c>
      <c r="Z5" s="255" t="s">
        <v>797</v>
      </c>
      <c r="AA5" s="255" t="s">
        <v>798</v>
      </c>
      <c r="AB5" s="255" t="s">
        <v>799</v>
      </c>
      <c r="AC5" s="255" t="s">
        <v>800</v>
      </c>
      <c r="AD5" s="255" t="s">
        <v>801</v>
      </c>
      <c r="AE5" s="255"/>
      <c r="AF5" s="255" t="s">
        <v>802</v>
      </c>
      <c r="AG5" s="255" t="s">
        <v>803</v>
      </c>
      <c r="AH5" s="255" t="s">
        <v>804</v>
      </c>
      <c r="AI5" s="255" t="s">
        <v>805</v>
      </c>
      <c r="AJ5" s="255" t="s">
        <v>754</v>
      </c>
      <c r="AK5" s="255" t="s">
        <v>755</v>
      </c>
      <c r="AL5" s="255" t="s">
        <v>756</v>
      </c>
      <c r="AM5" s="255" t="s">
        <v>757</v>
      </c>
      <c r="AN5" s="255" t="s">
        <v>806</v>
      </c>
      <c r="AO5" s="255" t="s">
        <v>807</v>
      </c>
    </row>
    <row r="6">
      <c r="A6" s="255" t="s">
        <v>275</v>
      </c>
      <c r="B6" s="255" t="s">
        <v>808</v>
      </c>
      <c r="C6" s="255" t="str">
        <f t="shared" si="1"/>
        <v>LN</v>
      </c>
      <c r="D6" s="256"/>
      <c r="E6" s="257" t="s">
        <v>89</v>
      </c>
      <c r="F6" s="258" t="s">
        <v>375</v>
      </c>
      <c r="G6" s="258" t="s">
        <v>374</v>
      </c>
      <c r="H6" s="259">
        <v>4.5595</v>
      </c>
      <c r="I6" s="259">
        <v>4.5595</v>
      </c>
      <c r="J6" s="259">
        <v>4.612</v>
      </c>
      <c r="K6" s="260"/>
      <c r="L6" s="261">
        <v>43469.745186678236</v>
      </c>
      <c r="M6" s="256">
        <f>Dashboard!$B$11*SUMIFS(Investment!$F:$F,Investment!$E:$E,$G6)</f>
        <v>32129.64926</v>
      </c>
      <c r="N6" s="262">
        <f t="shared" si="2"/>
        <v>42025</v>
      </c>
      <c r="O6" s="263">
        <f t="shared" si="3"/>
        <v>0.0261</v>
      </c>
      <c r="P6" s="264">
        <f t="shared" si="4"/>
        <v>0.028</v>
      </c>
      <c r="Q6" s="264">
        <f t="shared" si="5"/>
        <v>0.002</v>
      </c>
      <c r="R6" s="264">
        <f t="shared" si="6"/>
        <v>0.0024</v>
      </c>
      <c r="S6" s="265">
        <f t="shared" si="7"/>
        <v>0.0634</v>
      </c>
      <c r="T6" s="266">
        <f>$M6*(($O6+$P6-$Q6)*Dashboard!$B$10/12-$R6)</f>
        <v>1004.485873</v>
      </c>
      <c r="U6" s="267">
        <f t="shared" si="8"/>
        <v>0.03126351814</v>
      </c>
      <c r="V6" s="255" t="s">
        <v>741</v>
      </c>
      <c r="W6" s="255" t="s">
        <v>809</v>
      </c>
      <c r="X6" s="255" t="s">
        <v>810</v>
      </c>
      <c r="Y6" s="255" t="s">
        <v>811</v>
      </c>
      <c r="Z6" s="255" t="s">
        <v>812</v>
      </c>
      <c r="AA6" s="255" t="s">
        <v>813</v>
      </c>
      <c r="AB6" s="255" t="s">
        <v>814</v>
      </c>
      <c r="AC6" s="255" t="s">
        <v>815</v>
      </c>
      <c r="AD6" s="255" t="s">
        <v>816</v>
      </c>
      <c r="AE6" s="255"/>
      <c r="AF6" s="255" t="s">
        <v>817</v>
      </c>
      <c r="AG6" s="255" t="s">
        <v>818</v>
      </c>
      <c r="AH6" s="255" t="s">
        <v>819</v>
      </c>
      <c r="AI6" s="255" t="s">
        <v>820</v>
      </c>
      <c r="AJ6" s="255" t="s">
        <v>754</v>
      </c>
      <c r="AK6" s="255" t="s">
        <v>755</v>
      </c>
      <c r="AL6" s="255" t="s">
        <v>756</v>
      </c>
      <c r="AM6" s="255" t="s">
        <v>757</v>
      </c>
      <c r="AN6" s="255" t="s">
        <v>821</v>
      </c>
      <c r="AO6" s="255" t="s">
        <v>822</v>
      </c>
    </row>
    <row r="7">
      <c r="A7" s="223" t="s">
        <v>823</v>
      </c>
      <c r="B7" s="223" t="s">
        <v>761</v>
      </c>
      <c r="C7" s="223" t="str">
        <f t="shared" si="1"/>
        <v>US</v>
      </c>
      <c r="D7" s="271" t="s">
        <v>737</v>
      </c>
      <c r="E7" s="272" t="s">
        <v>824</v>
      </c>
      <c r="F7" s="273" t="s">
        <v>825</v>
      </c>
      <c r="G7" s="273" t="s">
        <v>371</v>
      </c>
      <c r="H7" s="274">
        <v>38.1</v>
      </c>
      <c r="I7" s="274">
        <v>38.1</v>
      </c>
      <c r="J7" s="274"/>
      <c r="K7" s="275"/>
      <c r="L7" s="276">
        <v>43467.63109170139</v>
      </c>
      <c r="M7" s="277">
        <f>Dashboard!$B$11*SUMIFS(Investment!$F:$F,Investment!$E:$E,$G7)</f>
        <v>24097.23695</v>
      </c>
      <c r="N7" s="278">
        <f t="shared" si="2"/>
        <v>38421</v>
      </c>
      <c r="O7" s="279">
        <f t="shared" si="3"/>
        <v>0.0113</v>
      </c>
      <c r="P7" s="280">
        <f t="shared" si="4"/>
        <v>0.0272</v>
      </c>
      <c r="Q7" s="280">
        <f t="shared" si="5"/>
        <v>0.0014</v>
      </c>
      <c r="R7" s="281">
        <f t="shared" si="6"/>
        <v>0.002</v>
      </c>
      <c r="S7" s="282">
        <f t="shared" si="7"/>
        <v>0.2591</v>
      </c>
      <c r="T7" s="283">
        <f>$M7*(($O7+$P7-$Q7)*Dashboard!$B$10/12-$R7)</f>
        <v>529.4530766</v>
      </c>
      <c r="U7" s="284">
        <f t="shared" si="8"/>
        <v>0.02197152635</v>
      </c>
      <c r="V7" s="223" t="s">
        <v>741</v>
      </c>
      <c r="W7" s="223" t="s">
        <v>826</v>
      </c>
      <c r="X7" s="223" t="s">
        <v>743</v>
      </c>
      <c r="Y7" s="223" t="s">
        <v>827</v>
      </c>
      <c r="Z7" s="223" t="s">
        <v>828</v>
      </c>
      <c r="AA7" s="223" t="s">
        <v>829</v>
      </c>
      <c r="AB7" s="223" t="s">
        <v>830</v>
      </c>
      <c r="AC7" s="223" t="s">
        <v>831</v>
      </c>
      <c r="AD7" s="223" t="s">
        <v>832</v>
      </c>
      <c r="AE7" s="223"/>
      <c r="AF7" s="223" t="s">
        <v>833</v>
      </c>
      <c r="AG7" s="223" t="s">
        <v>834</v>
      </c>
      <c r="AH7" s="223" t="s">
        <v>835</v>
      </c>
      <c r="AI7" s="223" t="s">
        <v>836</v>
      </c>
      <c r="AJ7" s="223" t="s">
        <v>754</v>
      </c>
      <c r="AK7" s="223" t="s">
        <v>755</v>
      </c>
      <c r="AL7" s="223" t="s">
        <v>756</v>
      </c>
      <c r="AM7" s="223" t="s">
        <v>757</v>
      </c>
      <c r="AN7" s="223" t="s">
        <v>806</v>
      </c>
      <c r="AO7" s="223" t="s">
        <v>837</v>
      </c>
    </row>
    <row r="8">
      <c r="A8" s="223" t="s">
        <v>838</v>
      </c>
      <c r="B8" s="223" t="s">
        <v>839</v>
      </c>
      <c r="C8" s="223" t="str">
        <f t="shared" si="1"/>
        <v>US</v>
      </c>
      <c r="D8" s="271" t="s">
        <v>737</v>
      </c>
      <c r="E8" s="272" t="s">
        <v>840</v>
      </c>
      <c r="F8" s="273" t="s">
        <v>841</v>
      </c>
      <c r="G8" s="273" t="s">
        <v>371</v>
      </c>
      <c r="H8" s="274">
        <v>76.76</v>
      </c>
      <c r="I8" s="274">
        <v>76.76</v>
      </c>
      <c r="J8" s="274"/>
      <c r="K8" s="275"/>
      <c r="L8" s="276">
        <v>43467.63121634259</v>
      </c>
      <c r="M8" s="271">
        <f>Dashboard!$B$11*SUMIFS(Investment!$F:$F,Investment!$E:$E,$G8)</f>
        <v>24097.23695</v>
      </c>
      <c r="N8" s="278">
        <f t="shared" si="2"/>
        <v>41473</v>
      </c>
      <c r="O8" s="279">
        <f t="shared" si="3"/>
        <v>0.082</v>
      </c>
      <c r="P8" s="281">
        <f t="shared" si="4"/>
        <v>0.0215</v>
      </c>
      <c r="Q8" s="281">
        <f t="shared" si="5"/>
        <v>0.0015</v>
      </c>
      <c r="R8" s="281">
        <f t="shared" si="6"/>
        <v>0.002</v>
      </c>
      <c r="S8" s="289">
        <f t="shared" si="7"/>
        <v>0.412241</v>
      </c>
      <c r="T8" s="283">
        <f>$M8*(($O8+$P8-$Q8)*Dashboard!$B$10/12-$R8)</f>
        <v>1539.94704</v>
      </c>
      <c r="U8" s="284">
        <f t="shared" si="8"/>
        <v>0.06390554415</v>
      </c>
      <c r="V8" s="223" t="s">
        <v>741</v>
      </c>
      <c r="W8" s="223" t="s">
        <v>842</v>
      </c>
      <c r="X8" s="223" t="s">
        <v>743</v>
      </c>
      <c r="Y8" s="223" t="s">
        <v>843</v>
      </c>
      <c r="Z8" s="223" t="s">
        <v>844</v>
      </c>
      <c r="AA8" s="223" t="s">
        <v>845</v>
      </c>
      <c r="AB8" s="223" t="s">
        <v>846</v>
      </c>
      <c r="AC8" s="223" t="s">
        <v>847</v>
      </c>
      <c r="AD8" s="223" t="s">
        <v>848</v>
      </c>
      <c r="AE8" s="223"/>
      <c r="AF8" s="223" t="s">
        <v>849</v>
      </c>
      <c r="AG8" s="223" t="s">
        <v>834</v>
      </c>
      <c r="AH8" s="223" t="s">
        <v>850</v>
      </c>
      <c r="AI8" s="223" t="s">
        <v>851</v>
      </c>
      <c r="AJ8" s="223" t="s">
        <v>754</v>
      </c>
      <c r="AK8" s="223" t="s">
        <v>755</v>
      </c>
      <c r="AL8" s="223" t="s">
        <v>756</v>
      </c>
      <c r="AM8" s="223" t="s">
        <v>757</v>
      </c>
      <c r="AN8" s="223" t="s">
        <v>758</v>
      </c>
      <c r="AO8" s="223" t="s">
        <v>759</v>
      </c>
    </row>
    <row r="9">
      <c r="A9" s="223" t="s">
        <v>852</v>
      </c>
      <c r="B9" s="223" t="s">
        <v>761</v>
      </c>
      <c r="C9" s="223" t="str">
        <f t="shared" si="1"/>
        <v>US</v>
      </c>
      <c r="D9" s="271" t="s">
        <v>737</v>
      </c>
      <c r="E9" s="272" t="s">
        <v>853</v>
      </c>
      <c r="F9" s="273" t="s">
        <v>854</v>
      </c>
      <c r="G9" s="273" t="s">
        <v>371</v>
      </c>
      <c r="H9" s="274">
        <v>46.97</v>
      </c>
      <c r="I9" s="274">
        <v>46.97</v>
      </c>
      <c r="J9" s="274"/>
      <c r="K9" s="275"/>
      <c r="L9" s="276">
        <v>43467.63132111111</v>
      </c>
      <c r="M9" s="271">
        <f>Dashboard!$B$11*SUMIFS(Investment!$F:$F,Investment!$E:$E,$G9)</f>
        <v>24097.23695</v>
      </c>
      <c r="N9" s="278">
        <f t="shared" si="2"/>
        <v>40836</v>
      </c>
      <c r="O9" s="279">
        <f t="shared" si="3"/>
        <v>0.0814</v>
      </c>
      <c r="P9" s="281">
        <f t="shared" si="4"/>
        <v>0.0345</v>
      </c>
      <c r="Q9" s="281">
        <f t="shared" si="5"/>
        <v>0.0007</v>
      </c>
      <c r="R9" s="281">
        <f t="shared" si="6"/>
        <v>0.002</v>
      </c>
      <c r="S9" s="289">
        <f t="shared" si="7"/>
        <v>0.4054</v>
      </c>
      <c r="T9" s="283">
        <f>$M9*(($O9+$P9-$Q9)*Dashboard!$B$10/12-$R9)</f>
        <v>1745.471235</v>
      </c>
      <c r="U9" s="284">
        <f t="shared" si="8"/>
        <v>0.07243449692</v>
      </c>
      <c r="V9" s="223" t="s">
        <v>741</v>
      </c>
      <c r="W9" s="223" t="s">
        <v>855</v>
      </c>
      <c r="X9" s="223" t="s">
        <v>743</v>
      </c>
      <c r="Y9" s="223" t="s">
        <v>856</v>
      </c>
      <c r="Z9" s="223" t="s">
        <v>857</v>
      </c>
      <c r="AA9" s="223" t="s">
        <v>858</v>
      </c>
      <c r="AB9" s="223" t="s">
        <v>859</v>
      </c>
      <c r="AC9" s="223" t="s">
        <v>860</v>
      </c>
      <c r="AD9" s="223" t="s">
        <v>861</v>
      </c>
      <c r="AE9" s="223"/>
      <c r="AF9" s="223" t="s">
        <v>862</v>
      </c>
      <c r="AG9" s="223" t="s">
        <v>834</v>
      </c>
      <c r="AH9" s="223" t="s">
        <v>863</v>
      </c>
      <c r="AI9" s="223" t="s">
        <v>864</v>
      </c>
      <c r="AJ9" s="223" t="s">
        <v>754</v>
      </c>
      <c r="AK9" s="223" t="s">
        <v>755</v>
      </c>
      <c r="AL9" s="223" t="s">
        <v>756</v>
      </c>
      <c r="AM9" s="223" t="s">
        <v>757</v>
      </c>
      <c r="AN9" s="223" t="s">
        <v>806</v>
      </c>
      <c r="AO9" s="223" t="s">
        <v>807</v>
      </c>
    </row>
    <row r="10">
      <c r="A10" s="223" t="s">
        <v>865</v>
      </c>
      <c r="B10" s="223" t="s">
        <v>761</v>
      </c>
      <c r="C10" s="223" t="str">
        <f t="shared" si="1"/>
        <v>US</v>
      </c>
      <c r="D10" s="271" t="s">
        <v>737</v>
      </c>
      <c r="E10" s="272" t="s">
        <v>866</v>
      </c>
      <c r="F10" s="273" t="s">
        <v>867</v>
      </c>
      <c r="G10" s="273" t="s">
        <v>371</v>
      </c>
      <c r="H10" s="274">
        <v>249.92</v>
      </c>
      <c r="I10" s="274">
        <v>249.92</v>
      </c>
      <c r="J10" s="274"/>
      <c r="K10" s="275"/>
      <c r="L10" s="276">
        <v>43467.63145159722</v>
      </c>
      <c r="M10" s="271">
        <f>Dashboard!$B$11*SUMIFS(Investment!$F:$F,Investment!$E:$E,$G10)</f>
        <v>24097.23695</v>
      </c>
      <c r="N10" s="278">
        <f t="shared" si="2"/>
        <v>33991</v>
      </c>
      <c r="O10" s="279">
        <f t="shared" si="3"/>
        <v>0.0836</v>
      </c>
      <c r="P10" s="281">
        <f t="shared" si="4"/>
        <v>0.023</v>
      </c>
      <c r="Q10" s="281">
        <f t="shared" si="5"/>
        <v>0.00095</v>
      </c>
      <c r="R10" s="281">
        <f t="shared" si="6"/>
        <v>0.002</v>
      </c>
      <c r="S10" s="289">
        <f t="shared" si="7"/>
        <v>1.435429</v>
      </c>
      <c r="T10" s="283">
        <f>$M10*(($O10+$P10-$Q10)*Dashboard!$B$10/12-$R10)</f>
        <v>1596.777594</v>
      </c>
      <c r="U10" s="284">
        <f t="shared" si="8"/>
        <v>0.06626392882</v>
      </c>
      <c r="V10" s="223" t="s">
        <v>741</v>
      </c>
      <c r="W10" s="223" t="s">
        <v>868</v>
      </c>
      <c r="X10" s="223" t="s">
        <v>743</v>
      </c>
      <c r="Y10" s="223" t="s">
        <v>869</v>
      </c>
      <c r="Z10" s="223" t="s">
        <v>870</v>
      </c>
      <c r="AA10" s="223" t="s">
        <v>871</v>
      </c>
      <c r="AB10" s="223" t="s">
        <v>872</v>
      </c>
      <c r="AC10" s="223" t="s">
        <v>873</v>
      </c>
      <c r="AD10" s="223" t="s">
        <v>874</v>
      </c>
      <c r="AE10" s="223"/>
      <c r="AF10" s="223" t="s">
        <v>875</v>
      </c>
      <c r="AG10" s="223" t="s">
        <v>876</v>
      </c>
      <c r="AH10" s="223" t="s">
        <v>877</v>
      </c>
      <c r="AI10" s="223" t="s">
        <v>878</v>
      </c>
      <c r="AJ10" s="223" t="s">
        <v>754</v>
      </c>
      <c r="AK10" s="223" t="s">
        <v>755</v>
      </c>
      <c r="AL10" s="223" t="s">
        <v>756</v>
      </c>
      <c r="AM10" s="223" t="s">
        <v>879</v>
      </c>
      <c r="AN10" s="223" t="s">
        <v>880</v>
      </c>
      <c r="AO10" s="223" t="s">
        <v>881</v>
      </c>
    </row>
    <row r="11">
      <c r="A11" s="223" t="s">
        <v>882</v>
      </c>
      <c r="B11" s="223" t="s">
        <v>761</v>
      </c>
      <c r="C11" s="223" t="str">
        <f t="shared" si="1"/>
        <v>US</v>
      </c>
      <c r="D11" s="271" t="s">
        <v>737</v>
      </c>
      <c r="E11" s="272" t="s">
        <v>883</v>
      </c>
      <c r="F11" s="273" t="s">
        <v>884</v>
      </c>
      <c r="G11" s="273" t="s">
        <v>371</v>
      </c>
      <c r="H11" s="274">
        <v>229.81</v>
      </c>
      <c r="I11" s="274">
        <v>229.81</v>
      </c>
      <c r="J11" s="274"/>
      <c r="K11" s="275"/>
      <c r="L11" s="276">
        <v>43467.631564201394</v>
      </c>
      <c r="M11" s="271">
        <f>Dashboard!$B$11*SUMIFS(Investment!$F:$F,Investment!$E:$E,$G11)</f>
        <v>24097.23695</v>
      </c>
      <c r="N11" s="278">
        <f t="shared" si="2"/>
        <v>40430</v>
      </c>
      <c r="O11" s="279">
        <f t="shared" si="3"/>
        <v>0.0845</v>
      </c>
      <c r="P11" s="281">
        <f t="shared" si="4"/>
        <v>0.0224</v>
      </c>
      <c r="Q11" s="281">
        <f t="shared" si="5"/>
        <v>0.0004</v>
      </c>
      <c r="R11" s="281">
        <f t="shared" si="6"/>
        <v>0.002</v>
      </c>
      <c r="S11" s="289">
        <f t="shared" si="7"/>
        <v>1.289</v>
      </c>
      <c r="T11" s="283">
        <f>$M11*(($O11+$P11-$Q11)*Dashboard!$B$10/12-$R11)</f>
        <v>1610.012106</v>
      </c>
      <c r="U11" s="284">
        <f t="shared" si="8"/>
        <v>0.06681314168</v>
      </c>
      <c r="V11" s="223" t="s">
        <v>741</v>
      </c>
      <c r="W11" s="223" t="s">
        <v>885</v>
      </c>
      <c r="X11" s="223" t="s">
        <v>743</v>
      </c>
      <c r="Y11" s="223" t="s">
        <v>886</v>
      </c>
      <c r="Z11" s="223" t="s">
        <v>887</v>
      </c>
      <c r="AA11" s="223" t="s">
        <v>888</v>
      </c>
      <c r="AB11" s="223" t="s">
        <v>889</v>
      </c>
      <c r="AC11" s="223" t="s">
        <v>890</v>
      </c>
      <c r="AD11" s="223" t="s">
        <v>891</v>
      </c>
      <c r="AE11" s="223"/>
      <c r="AF11" s="223" t="s">
        <v>892</v>
      </c>
      <c r="AG11" s="223" t="s">
        <v>876</v>
      </c>
      <c r="AH11" s="223" t="s">
        <v>893</v>
      </c>
      <c r="AI11" s="223" t="s">
        <v>894</v>
      </c>
      <c r="AJ11" s="223" t="s">
        <v>754</v>
      </c>
      <c r="AK11" s="223" t="s">
        <v>755</v>
      </c>
      <c r="AL11" s="223" t="s">
        <v>756</v>
      </c>
      <c r="AM11" s="223" t="s">
        <v>757</v>
      </c>
      <c r="AN11" s="223" t="s">
        <v>895</v>
      </c>
      <c r="AO11" s="223" t="s">
        <v>896</v>
      </c>
    </row>
    <row r="12">
      <c r="A12" s="223" t="s">
        <v>897</v>
      </c>
      <c r="B12" s="223" t="s">
        <v>761</v>
      </c>
      <c r="C12" s="223" t="str">
        <f t="shared" si="1"/>
        <v>US</v>
      </c>
      <c r="D12" s="271" t="s">
        <v>737</v>
      </c>
      <c r="E12" s="272" t="s">
        <v>898</v>
      </c>
      <c r="F12" s="273" t="s">
        <v>899</v>
      </c>
      <c r="G12" s="273" t="s">
        <v>371</v>
      </c>
      <c r="H12" s="274">
        <v>59.93</v>
      </c>
      <c r="I12" s="274">
        <v>59.93</v>
      </c>
      <c r="J12" s="274"/>
      <c r="K12" s="275"/>
      <c r="L12" s="276">
        <v>43467.63169119213</v>
      </c>
      <c r="M12" s="271">
        <f>Dashboard!$B$11*SUMIFS(Investment!$F:$F,Investment!$E:$E,$G12)</f>
        <v>24097.23695</v>
      </c>
      <c r="N12" s="278">
        <f t="shared" si="2"/>
        <v>40120</v>
      </c>
      <c r="O12" s="279">
        <f t="shared" si="3"/>
        <v>0.079</v>
      </c>
      <c r="P12" s="281">
        <f t="shared" si="4"/>
        <v>0.0053</v>
      </c>
      <c r="Q12" s="281">
        <f t="shared" si="5"/>
        <v>0.0003</v>
      </c>
      <c r="R12" s="281">
        <f t="shared" si="6"/>
        <v>0.002</v>
      </c>
      <c r="S12" s="289">
        <f t="shared" si="7"/>
        <v>0.0798</v>
      </c>
      <c r="T12" s="283">
        <f>$M12*(($O12+$P12-$Q12)*Dashboard!$B$10/12-$R12)</f>
        <v>1259.686773</v>
      </c>
      <c r="U12" s="284">
        <f t="shared" si="8"/>
        <v>0.052275154</v>
      </c>
      <c r="V12" s="223" t="s">
        <v>741</v>
      </c>
      <c r="W12" s="223" t="s">
        <v>900</v>
      </c>
      <c r="X12" s="223" t="s">
        <v>743</v>
      </c>
      <c r="Y12" s="223" t="s">
        <v>901</v>
      </c>
      <c r="Z12" s="223" t="s">
        <v>902</v>
      </c>
      <c r="AA12" s="223" t="s">
        <v>903</v>
      </c>
      <c r="AB12" s="223" t="s">
        <v>904</v>
      </c>
      <c r="AC12" s="223" t="s">
        <v>905</v>
      </c>
      <c r="AD12" s="223" t="s">
        <v>906</v>
      </c>
      <c r="AE12" s="223"/>
      <c r="AF12" s="223" t="s">
        <v>907</v>
      </c>
      <c r="AG12" s="223" t="s">
        <v>834</v>
      </c>
      <c r="AH12" s="223" t="s">
        <v>908</v>
      </c>
      <c r="AI12" s="223" t="s">
        <v>909</v>
      </c>
      <c r="AJ12" s="223" t="s">
        <v>754</v>
      </c>
      <c r="AK12" s="223" t="s">
        <v>755</v>
      </c>
      <c r="AL12" s="223" t="s">
        <v>756</v>
      </c>
      <c r="AM12" s="223" t="s">
        <v>757</v>
      </c>
      <c r="AN12" s="223" t="s">
        <v>910</v>
      </c>
      <c r="AO12" s="223" t="s">
        <v>911</v>
      </c>
    </row>
    <row r="13">
      <c r="A13" s="223" t="s">
        <v>912</v>
      </c>
      <c r="B13" s="223" t="s">
        <v>761</v>
      </c>
      <c r="C13" s="223" t="str">
        <f t="shared" si="1"/>
        <v>US</v>
      </c>
      <c r="D13" s="271" t="s">
        <v>737</v>
      </c>
      <c r="E13" s="272" t="s">
        <v>913</v>
      </c>
      <c r="F13" s="273" t="str">
        <f>IFERROR(__xludf.DUMMYFUNCTION("importxml(""https://www.bloomberg.com/quote/"" &amp; A13 &amp; "":"" &amp; C13, ""//h1"")"),"iShares Core S&amp;P Total US Stock Market ETF")</f>
        <v>iShares Core S&amp;P Total US Stock Market ETF</v>
      </c>
      <c r="G13" s="273" t="s">
        <v>371</v>
      </c>
      <c r="H13" s="274">
        <v>56.76</v>
      </c>
      <c r="I13" s="274">
        <v>56.76</v>
      </c>
      <c r="J13" s="274"/>
      <c r="K13" s="275"/>
      <c r="L13" s="276">
        <v>43467.63181061343</v>
      </c>
      <c r="M13" s="271">
        <f>Dashboard!$B$11*SUMIFS(Investment!$F:$F,Investment!$E:$E,$G13)</f>
        <v>24097.23695</v>
      </c>
      <c r="N13" s="278">
        <f t="shared" si="2"/>
        <v>38009</v>
      </c>
      <c r="O13" s="279">
        <f t="shared" si="3"/>
        <v>0.0809</v>
      </c>
      <c r="P13" s="281">
        <f t="shared" si="4"/>
        <v>0.0043</v>
      </c>
      <c r="Q13" s="281">
        <f t="shared" si="5"/>
        <v>0.0003</v>
      </c>
      <c r="R13" s="281">
        <f t="shared" si="6"/>
        <v>0.002</v>
      </c>
      <c r="S13" s="289">
        <f t="shared" si="7"/>
        <v>0.060859</v>
      </c>
      <c r="T13" s="283">
        <f>$M13*(($O13+$P13-$Q13)*Dashboard!$B$10/12-$R13)</f>
        <v>1273.699786</v>
      </c>
      <c r="U13" s="284">
        <f t="shared" si="8"/>
        <v>0.05285667351</v>
      </c>
      <c r="V13" s="223" t="s">
        <v>741</v>
      </c>
      <c r="W13" s="223" t="s">
        <v>914</v>
      </c>
      <c r="X13" s="223" t="s">
        <v>743</v>
      </c>
      <c r="Y13" s="223" t="s">
        <v>915</v>
      </c>
      <c r="Z13" s="223" t="s">
        <v>916</v>
      </c>
      <c r="AA13" s="223" t="s">
        <v>917</v>
      </c>
      <c r="AB13" s="223" t="s">
        <v>918</v>
      </c>
      <c r="AC13" s="223" t="s">
        <v>919</v>
      </c>
      <c r="AD13" s="223" t="s">
        <v>920</v>
      </c>
      <c r="AE13" s="223"/>
      <c r="AF13" s="223" t="s">
        <v>921</v>
      </c>
      <c r="AG13" s="223" t="s">
        <v>818</v>
      </c>
      <c r="AH13" s="223" t="s">
        <v>922</v>
      </c>
      <c r="AI13" s="223" t="s">
        <v>923</v>
      </c>
      <c r="AJ13" s="223" t="s">
        <v>754</v>
      </c>
      <c r="AK13" s="223" t="s">
        <v>755</v>
      </c>
      <c r="AL13" s="223" t="s">
        <v>756</v>
      </c>
      <c r="AM13" s="223" t="s">
        <v>757</v>
      </c>
      <c r="AN13" s="223" t="s">
        <v>910</v>
      </c>
      <c r="AO13" s="223" t="s">
        <v>911</v>
      </c>
    </row>
    <row r="14">
      <c r="A14" s="223" t="s">
        <v>924</v>
      </c>
      <c r="B14" s="223" t="s">
        <v>761</v>
      </c>
      <c r="C14" s="223" t="str">
        <f t="shared" si="1"/>
        <v>US</v>
      </c>
      <c r="D14" s="271" t="s">
        <v>737</v>
      </c>
      <c r="E14" s="272" t="s">
        <v>926</v>
      </c>
      <c r="F14" s="273" t="s">
        <v>679</v>
      </c>
      <c r="G14" s="273" t="s">
        <v>371</v>
      </c>
      <c r="H14" s="274">
        <v>127.63</v>
      </c>
      <c r="I14" s="274">
        <v>127.63</v>
      </c>
      <c r="J14" s="274"/>
      <c r="K14" s="275"/>
      <c r="L14" s="276">
        <v>43467.63194806713</v>
      </c>
      <c r="M14" s="271">
        <f>Dashboard!$B$11*SUMIFS(Investment!$F:$F,Investment!$E:$E,$G14)</f>
        <v>24097.23695</v>
      </c>
      <c r="N14" s="278">
        <f t="shared" si="2"/>
        <v>37042</v>
      </c>
      <c r="O14" s="279">
        <f t="shared" si="3"/>
        <v>0.0792</v>
      </c>
      <c r="P14" s="281">
        <f t="shared" si="4"/>
        <v>0.0226</v>
      </c>
      <c r="Q14" s="281">
        <f t="shared" si="5"/>
        <v>0.0004</v>
      </c>
      <c r="R14" s="281">
        <f t="shared" si="6"/>
        <v>0.002</v>
      </c>
      <c r="S14" s="289">
        <f t="shared" si="7"/>
        <v>0.7209</v>
      </c>
      <c r="T14" s="283">
        <f>$M14*(($O14+$P14-$Q14)*Dashboard!$B$10/12-$R14)</f>
        <v>1530.605031</v>
      </c>
      <c r="U14" s="284">
        <f t="shared" si="8"/>
        <v>0.06351786448</v>
      </c>
      <c r="V14" s="223" t="s">
        <v>741</v>
      </c>
      <c r="W14" s="223" t="s">
        <v>914</v>
      </c>
      <c r="X14" s="223" t="s">
        <v>743</v>
      </c>
      <c r="Y14" s="223" t="s">
        <v>927</v>
      </c>
      <c r="Z14" s="223" t="s">
        <v>928</v>
      </c>
      <c r="AA14" s="223" t="s">
        <v>929</v>
      </c>
      <c r="AB14" s="223" t="s">
        <v>930</v>
      </c>
      <c r="AC14" s="223" t="s">
        <v>931</v>
      </c>
      <c r="AD14" s="223" t="s">
        <v>932</v>
      </c>
      <c r="AE14" s="223"/>
      <c r="AF14" s="223" t="s">
        <v>907</v>
      </c>
      <c r="AG14" s="223" t="s">
        <v>834</v>
      </c>
      <c r="AH14" s="223" t="s">
        <v>933</v>
      </c>
      <c r="AI14" s="223" t="s">
        <v>934</v>
      </c>
      <c r="AJ14" s="223" t="s">
        <v>754</v>
      </c>
      <c r="AK14" s="223" t="s">
        <v>755</v>
      </c>
      <c r="AL14" s="223" t="s">
        <v>756</v>
      </c>
      <c r="AM14" s="223" t="s">
        <v>757</v>
      </c>
      <c r="AN14" s="223" t="s">
        <v>910</v>
      </c>
      <c r="AO14" s="223" t="s">
        <v>896</v>
      </c>
    </row>
    <row r="15">
      <c r="A15" s="223" t="s">
        <v>935</v>
      </c>
      <c r="B15" s="223" t="s">
        <v>839</v>
      </c>
      <c r="C15" s="223" t="str">
        <f t="shared" si="1"/>
        <v>US</v>
      </c>
      <c r="D15" s="271" t="s">
        <v>737</v>
      </c>
      <c r="E15" s="272" t="s">
        <v>936</v>
      </c>
      <c r="F15" s="273" t="s">
        <v>937</v>
      </c>
      <c r="G15" s="273" t="s">
        <v>371</v>
      </c>
      <c r="H15" s="274">
        <v>52.4</v>
      </c>
      <c r="I15" s="274">
        <v>52.4</v>
      </c>
      <c r="J15" s="274"/>
      <c r="K15" s="275"/>
      <c r="L15" s="276">
        <v>43467.632058993055</v>
      </c>
      <c r="M15" s="271">
        <f>Dashboard!$B$11*SUMIFS(Investment!$F:$F,Investment!$E:$E,$G15)</f>
        <v>24097.23695</v>
      </c>
      <c r="N15" s="278">
        <f t="shared" si="2"/>
        <v>40836</v>
      </c>
      <c r="O15" s="279">
        <f t="shared" si="3"/>
        <v>0.1032</v>
      </c>
      <c r="P15" s="281">
        <f t="shared" si="4"/>
        <v>0.0025</v>
      </c>
      <c r="Q15" s="281">
        <f t="shared" si="5"/>
        <v>0.0015</v>
      </c>
      <c r="R15" s="281">
        <f t="shared" si="6"/>
        <v>0.002</v>
      </c>
      <c r="S15" s="289">
        <f t="shared" si="7"/>
        <v>0.032728</v>
      </c>
      <c r="T15" s="283">
        <f>$M15*(($O15+$P15-$Q15)*Dashboard!$B$10/12-$R15)</f>
        <v>1574.201072</v>
      </c>
      <c r="U15" s="284">
        <f t="shared" si="8"/>
        <v>0.06532703628</v>
      </c>
      <c r="V15" s="223" t="s">
        <v>741</v>
      </c>
      <c r="W15" s="223" t="s">
        <v>942</v>
      </c>
      <c r="X15" s="223" t="s">
        <v>743</v>
      </c>
      <c r="Y15" s="223" t="s">
        <v>943</v>
      </c>
      <c r="Z15" s="223" t="s">
        <v>944</v>
      </c>
      <c r="AA15" s="223" t="s">
        <v>945</v>
      </c>
      <c r="AB15" s="223" t="s">
        <v>946</v>
      </c>
      <c r="AC15" s="223" t="s">
        <v>947</v>
      </c>
      <c r="AD15" s="223" t="s">
        <v>861</v>
      </c>
      <c r="AE15" s="223"/>
      <c r="AF15" s="223" t="s">
        <v>948</v>
      </c>
      <c r="AG15" s="223" t="s">
        <v>834</v>
      </c>
      <c r="AH15" s="223" t="s">
        <v>949</v>
      </c>
      <c r="AI15" s="223" t="s">
        <v>950</v>
      </c>
      <c r="AJ15" s="223" t="s">
        <v>754</v>
      </c>
      <c r="AK15" s="223" t="s">
        <v>755</v>
      </c>
      <c r="AL15" s="223" t="s">
        <v>756</v>
      </c>
      <c r="AM15" s="223" t="s">
        <v>757</v>
      </c>
      <c r="AN15" s="223" t="s">
        <v>758</v>
      </c>
      <c r="AO15" s="223" t="s">
        <v>759</v>
      </c>
    </row>
    <row r="16">
      <c r="A16" s="223" t="s">
        <v>951</v>
      </c>
      <c r="B16" s="223" t="s">
        <v>761</v>
      </c>
      <c r="C16" s="223" t="str">
        <f t="shared" si="1"/>
        <v>US</v>
      </c>
      <c r="D16" s="271" t="s">
        <v>737</v>
      </c>
      <c r="E16" s="272" t="s">
        <v>952</v>
      </c>
      <c r="F16" s="273" t="s">
        <v>953</v>
      </c>
      <c r="G16" s="273" t="s">
        <v>371</v>
      </c>
      <c r="H16" s="274">
        <v>77.99</v>
      </c>
      <c r="I16" s="274">
        <v>77.99</v>
      </c>
      <c r="J16" s="274"/>
      <c r="K16" s="275"/>
      <c r="L16" s="276">
        <v>43467.632172060185</v>
      </c>
      <c r="M16" s="271">
        <f>Dashboard!$B$11*SUMIFS(Investment!$F:$F,Investment!$E:$E,$G16)</f>
        <v>24097.23695</v>
      </c>
      <c r="N16" s="278">
        <f t="shared" si="2"/>
        <v>39037</v>
      </c>
      <c r="O16" s="279">
        <f t="shared" si="3"/>
        <v>0.0785</v>
      </c>
      <c r="P16" s="281">
        <f t="shared" si="4"/>
        <v>0.0379</v>
      </c>
      <c r="Q16" s="281">
        <f t="shared" si="5"/>
        <v>0.0008</v>
      </c>
      <c r="R16" s="281">
        <f t="shared" si="6"/>
        <v>0.002</v>
      </c>
      <c r="S16" s="289">
        <f t="shared" si="7"/>
        <v>0.7388</v>
      </c>
      <c r="T16" s="283">
        <f>$M16*(($O16+$P16-$Q16)*Dashboard!$B$10/12-$R16)</f>
        <v>1751.699241</v>
      </c>
      <c r="U16" s="284">
        <f t="shared" si="8"/>
        <v>0.07269295003</v>
      </c>
      <c r="V16" s="223" t="s">
        <v>741</v>
      </c>
      <c r="W16" s="223" t="s">
        <v>967</v>
      </c>
      <c r="X16" s="223" t="s">
        <v>743</v>
      </c>
      <c r="Y16" s="223" t="s">
        <v>968</v>
      </c>
      <c r="Z16" s="223" t="s">
        <v>969</v>
      </c>
      <c r="AA16" s="223" t="s">
        <v>971</v>
      </c>
      <c r="AB16" s="223" t="s">
        <v>972</v>
      </c>
      <c r="AC16" s="223" t="s">
        <v>973</v>
      </c>
      <c r="AD16" s="223" t="s">
        <v>974</v>
      </c>
      <c r="AE16" s="223"/>
      <c r="AF16" s="223" t="s">
        <v>975</v>
      </c>
      <c r="AG16" s="223" t="s">
        <v>834</v>
      </c>
      <c r="AH16" s="223" t="s">
        <v>977</v>
      </c>
      <c r="AI16" s="223" t="s">
        <v>978</v>
      </c>
      <c r="AJ16" s="223" t="s">
        <v>754</v>
      </c>
      <c r="AK16" s="223" t="s">
        <v>755</v>
      </c>
      <c r="AL16" s="223" t="s">
        <v>756</v>
      </c>
      <c r="AM16" s="223" t="s">
        <v>757</v>
      </c>
      <c r="AN16" s="223" t="s">
        <v>806</v>
      </c>
      <c r="AO16" s="223" t="s">
        <v>980</v>
      </c>
    </row>
    <row r="17">
      <c r="A17" s="223" t="s">
        <v>982</v>
      </c>
      <c r="B17" s="223" t="s">
        <v>761</v>
      </c>
      <c r="C17" s="223" t="str">
        <f t="shared" si="1"/>
        <v>US</v>
      </c>
      <c r="D17" s="271" t="s">
        <v>737</v>
      </c>
      <c r="E17" s="272" t="s">
        <v>984</v>
      </c>
      <c r="F17" s="273" t="s">
        <v>985</v>
      </c>
      <c r="G17" s="273" t="s">
        <v>371</v>
      </c>
      <c r="H17" s="274">
        <v>146.92</v>
      </c>
      <c r="I17" s="274">
        <v>146.92</v>
      </c>
      <c r="J17" s="274"/>
      <c r="K17" s="275"/>
      <c r="L17" s="276">
        <v>43467.632328761574</v>
      </c>
      <c r="M17" s="271">
        <f>Dashboard!$B$11*SUMIFS(Investment!$F:$F,Investment!$E:$E,$G17)</f>
        <v>24097.23695</v>
      </c>
      <c r="N17" s="278">
        <f t="shared" si="2"/>
        <v>36672</v>
      </c>
      <c r="O17" s="279">
        <f t="shared" si="3"/>
        <v>0.0776</v>
      </c>
      <c r="P17" s="281">
        <f t="shared" si="4"/>
        <v>0.0231</v>
      </c>
      <c r="Q17" s="281">
        <f t="shared" si="5"/>
        <v>0.002</v>
      </c>
      <c r="R17" s="281">
        <f t="shared" si="6"/>
        <v>0.002</v>
      </c>
      <c r="S17" s="289">
        <f t="shared" si="7"/>
        <v>0.847029</v>
      </c>
      <c r="T17" s="283">
        <f>$M17*(($O17+$P17-$Q17)*Dashboard!$B$10/12-$R17)</f>
        <v>1488.565991</v>
      </c>
      <c r="U17" s="284">
        <f t="shared" si="8"/>
        <v>0.06177330595</v>
      </c>
      <c r="V17" s="223" t="s">
        <v>741</v>
      </c>
      <c r="W17" s="223" t="s">
        <v>1001</v>
      </c>
      <c r="X17" s="223" t="s">
        <v>743</v>
      </c>
      <c r="Y17" s="223" t="s">
        <v>1002</v>
      </c>
      <c r="Z17" s="223" t="s">
        <v>1003</v>
      </c>
      <c r="AA17" s="223" t="s">
        <v>1004</v>
      </c>
      <c r="AB17" s="223" t="s">
        <v>1005</v>
      </c>
      <c r="AC17" s="223" t="s">
        <v>1007</v>
      </c>
      <c r="AD17" s="223" t="s">
        <v>1008</v>
      </c>
      <c r="AE17" s="223"/>
      <c r="AF17" s="223" t="s">
        <v>1009</v>
      </c>
      <c r="AG17" s="223" t="s">
        <v>1011</v>
      </c>
      <c r="AH17" s="223" t="s">
        <v>1012</v>
      </c>
      <c r="AI17" s="223" t="s">
        <v>1013</v>
      </c>
      <c r="AJ17" s="223" t="s">
        <v>754</v>
      </c>
      <c r="AK17" s="223" t="s">
        <v>755</v>
      </c>
      <c r="AL17" s="223" t="s">
        <v>756</v>
      </c>
      <c r="AM17" s="223" t="s">
        <v>757</v>
      </c>
      <c r="AN17" s="223" t="s">
        <v>821</v>
      </c>
      <c r="AO17" s="223" t="s">
        <v>822</v>
      </c>
    </row>
    <row r="18">
      <c r="A18" s="223" t="s">
        <v>1014</v>
      </c>
      <c r="B18" s="223" t="s">
        <v>761</v>
      </c>
      <c r="C18" s="223" t="str">
        <f t="shared" si="1"/>
        <v>US</v>
      </c>
      <c r="D18" s="271" t="s">
        <v>737</v>
      </c>
      <c r="E18" s="272" t="s">
        <v>1015</v>
      </c>
      <c r="F18" s="273" t="s">
        <v>1016</v>
      </c>
      <c r="G18" s="273" t="s">
        <v>371</v>
      </c>
      <c r="H18" s="274">
        <v>52.95</v>
      </c>
      <c r="I18" s="274">
        <v>52.95</v>
      </c>
      <c r="J18" s="274"/>
      <c r="K18" s="275"/>
      <c r="L18" s="276">
        <v>43467.63244004629</v>
      </c>
      <c r="M18" s="271">
        <f>Dashboard!$B$11*SUMIFS(Investment!$F:$F,Investment!$E:$E,$G18)</f>
        <v>24097.23695</v>
      </c>
      <c r="N18" s="278">
        <f t="shared" si="2"/>
        <v>40395</v>
      </c>
      <c r="O18" s="279">
        <f t="shared" si="3"/>
        <v>0.0199</v>
      </c>
      <c r="P18" s="281">
        <f t="shared" si="4"/>
        <v>0.0228</v>
      </c>
      <c r="Q18" s="281">
        <f t="shared" si="5"/>
        <v>0.0006</v>
      </c>
      <c r="R18" s="281">
        <f t="shared" si="6"/>
        <v>0.002</v>
      </c>
      <c r="S18" s="289">
        <f t="shared" si="7"/>
        <v>0.1005</v>
      </c>
      <c r="T18" s="283">
        <f>$M18*(($O18+$P18-$Q18)*Dashboard!$B$10/12-$R18)</f>
        <v>607.3031508</v>
      </c>
      <c r="U18" s="284">
        <f t="shared" si="8"/>
        <v>0.02520219028</v>
      </c>
      <c r="V18" s="223" t="s">
        <v>741</v>
      </c>
      <c r="W18" s="223" t="s">
        <v>1025</v>
      </c>
      <c r="X18" s="223" t="s">
        <v>743</v>
      </c>
      <c r="Y18" s="223" t="s">
        <v>1026</v>
      </c>
      <c r="Z18" s="223" t="s">
        <v>1027</v>
      </c>
      <c r="AA18" s="223" t="s">
        <v>1028</v>
      </c>
      <c r="AB18" s="223" t="s">
        <v>1029</v>
      </c>
      <c r="AC18" s="223" t="s">
        <v>1031</v>
      </c>
      <c r="AD18" s="223" t="s">
        <v>1032</v>
      </c>
      <c r="AE18" s="223"/>
      <c r="AF18" s="223" t="s">
        <v>1033</v>
      </c>
      <c r="AG18" s="223" t="s">
        <v>834</v>
      </c>
      <c r="AH18" s="223" t="s">
        <v>1034</v>
      </c>
      <c r="AI18" s="223" t="s">
        <v>1035</v>
      </c>
      <c r="AJ18" s="223" t="s">
        <v>754</v>
      </c>
      <c r="AK18" s="223" t="s">
        <v>755</v>
      </c>
      <c r="AL18" s="223" t="s">
        <v>756</v>
      </c>
      <c r="AM18" s="223" t="s">
        <v>757</v>
      </c>
      <c r="AN18" s="223" t="s">
        <v>1036</v>
      </c>
      <c r="AO18" s="223" t="s">
        <v>1037</v>
      </c>
    </row>
    <row r="19">
      <c r="A19" s="223" t="s">
        <v>298</v>
      </c>
      <c r="B19" s="223" t="s">
        <v>1038</v>
      </c>
      <c r="C19" s="223" t="str">
        <f t="shared" si="1"/>
        <v>NA</v>
      </c>
      <c r="D19" s="271" t="s">
        <v>737</v>
      </c>
      <c r="E19" s="272" t="s">
        <v>60</v>
      </c>
      <c r="F19" s="273" t="s">
        <v>372</v>
      </c>
      <c r="G19" s="273" t="s">
        <v>371</v>
      </c>
      <c r="H19" s="274">
        <v>41.848</v>
      </c>
      <c r="I19" s="274">
        <v>41.848</v>
      </c>
      <c r="J19" s="274">
        <v>41.009</v>
      </c>
      <c r="K19" s="275"/>
      <c r="L19" s="276">
        <v>43469.74526373843</v>
      </c>
      <c r="M19" s="271">
        <f>Dashboard!$B$11*SUMIFS(Investment!$F:$F,Investment!$E:$E,$G19)</f>
        <v>24097.23695</v>
      </c>
      <c r="N19" s="278">
        <f t="shared" si="2"/>
        <v>41051</v>
      </c>
      <c r="O19" s="279">
        <f t="shared" si="3"/>
        <v>0.1223</v>
      </c>
      <c r="P19" s="281">
        <f t="shared" si="4"/>
        <v>0.0181</v>
      </c>
      <c r="Q19" s="281">
        <f t="shared" si="5"/>
        <v>0.0007</v>
      </c>
      <c r="R19" s="281">
        <f t="shared" si="6"/>
        <v>0</v>
      </c>
      <c r="S19" s="289">
        <f t="shared" si="7"/>
        <v>0.214551</v>
      </c>
      <c r="T19" s="283">
        <f>$M19*(($O19+$P19-$Q19)*Dashboard!$B$10/12-$R19)</f>
        <v>2175.131073</v>
      </c>
      <c r="U19" s="284">
        <f t="shared" si="8"/>
        <v>0.09026475017</v>
      </c>
      <c r="V19" s="223" t="s">
        <v>741</v>
      </c>
      <c r="W19" s="223" t="s">
        <v>1042</v>
      </c>
      <c r="X19" s="223" t="s">
        <v>1043</v>
      </c>
      <c r="Y19" s="223" t="s">
        <v>1044</v>
      </c>
      <c r="Z19" s="223" t="s">
        <v>1045</v>
      </c>
      <c r="AA19" s="223" t="s">
        <v>1046</v>
      </c>
      <c r="AB19" s="223" t="s">
        <v>1047</v>
      </c>
      <c r="AC19" s="223" t="s">
        <v>1048</v>
      </c>
      <c r="AD19" s="223" t="s">
        <v>1049</v>
      </c>
      <c r="AE19" s="223"/>
      <c r="AF19" s="223" t="s">
        <v>1050</v>
      </c>
      <c r="AG19" s="223" t="s">
        <v>1051</v>
      </c>
      <c r="AH19" s="223" t="s">
        <v>1052</v>
      </c>
      <c r="AI19" s="223" t="s">
        <v>1053</v>
      </c>
      <c r="AJ19" s="223" t="s">
        <v>754</v>
      </c>
      <c r="AK19" s="223" t="s">
        <v>755</v>
      </c>
      <c r="AL19" s="223" t="s">
        <v>756</v>
      </c>
      <c r="AM19" s="223" t="s">
        <v>757</v>
      </c>
      <c r="AN19" s="223" t="s">
        <v>806</v>
      </c>
      <c r="AO19" s="223" t="s">
        <v>807</v>
      </c>
    </row>
    <row r="20">
      <c r="A20" s="223" t="s">
        <v>1054</v>
      </c>
      <c r="B20" s="223" t="s">
        <v>1038</v>
      </c>
      <c r="C20" s="304" t="str">
        <f t="shared" si="1"/>
        <v>NA</v>
      </c>
      <c r="D20" s="305" t="s">
        <v>737</v>
      </c>
      <c r="E20" s="306" t="s">
        <v>1055</v>
      </c>
      <c r="F20" s="307" t="s">
        <v>1056</v>
      </c>
      <c r="G20" s="307" t="s">
        <v>371</v>
      </c>
      <c r="H20" s="308">
        <v>21.549</v>
      </c>
      <c r="I20" s="308">
        <v>21.549</v>
      </c>
      <c r="J20" s="308"/>
      <c r="K20" s="309"/>
      <c r="L20" s="276">
        <v>43467.63264113426</v>
      </c>
      <c r="M20" s="310">
        <f>Dashboard!$B$11*SUMIFS(Investment!$F:$F,Investment!$E:$E,$G20)</f>
        <v>24097.23695</v>
      </c>
      <c r="N20" s="278">
        <f t="shared" si="2"/>
        <v>38170</v>
      </c>
      <c r="O20" s="279">
        <f t="shared" si="3"/>
        <v>0.1201</v>
      </c>
      <c r="P20" s="281">
        <f t="shared" si="4"/>
        <v>0.0172</v>
      </c>
      <c r="Q20" s="281">
        <f t="shared" si="5"/>
        <v>0.0007</v>
      </c>
      <c r="R20" s="311">
        <f t="shared" si="6"/>
        <v>0</v>
      </c>
      <c r="S20" s="312">
        <f t="shared" si="7"/>
        <v>0.1128</v>
      </c>
      <c r="T20" s="313">
        <f>$M20*(($O20+$P20-$Q20)*Dashboard!$B$10/12-$R20)</f>
        <v>2126.864027</v>
      </c>
      <c r="U20" s="314">
        <f t="shared" si="8"/>
        <v>0.08826173854</v>
      </c>
      <c r="V20" s="223" t="s">
        <v>741</v>
      </c>
      <c r="W20" s="223" t="s">
        <v>1064</v>
      </c>
      <c r="X20" s="223" t="s">
        <v>1065</v>
      </c>
      <c r="Y20" s="223" t="s">
        <v>1066</v>
      </c>
      <c r="Z20" s="223" t="s">
        <v>1068</v>
      </c>
      <c r="AA20" s="223" t="s">
        <v>1069</v>
      </c>
      <c r="AB20" s="223" t="s">
        <v>1070</v>
      </c>
      <c r="AC20" s="223" t="s">
        <v>1071</v>
      </c>
      <c r="AD20" s="223" t="s">
        <v>1072</v>
      </c>
      <c r="AE20" s="223"/>
      <c r="AF20" s="223" t="s">
        <v>1074</v>
      </c>
      <c r="AG20" s="223" t="s">
        <v>1075</v>
      </c>
      <c r="AH20" s="223" t="s">
        <v>1076</v>
      </c>
      <c r="AI20" s="223" t="s">
        <v>1077</v>
      </c>
      <c r="AJ20" s="223" t="s">
        <v>754</v>
      </c>
      <c r="AK20" s="223" t="s">
        <v>755</v>
      </c>
      <c r="AL20" s="223" t="s">
        <v>756</v>
      </c>
      <c r="AM20" s="223" t="s">
        <v>757</v>
      </c>
      <c r="AN20" s="223" t="s">
        <v>806</v>
      </c>
      <c r="AO20" s="223" t="s">
        <v>807</v>
      </c>
    </row>
    <row r="21">
      <c r="A21" s="315" t="s">
        <v>1079</v>
      </c>
      <c r="B21" s="315" t="s">
        <v>736</v>
      </c>
      <c r="C21" s="315" t="str">
        <f t="shared" si="1"/>
        <v>US</v>
      </c>
      <c r="D21" s="316" t="s">
        <v>737</v>
      </c>
      <c r="E21" s="317" t="s">
        <v>1082</v>
      </c>
      <c r="F21" s="318" t="s">
        <v>665</v>
      </c>
      <c r="G21" s="318" t="s">
        <v>379</v>
      </c>
      <c r="H21" s="319">
        <v>104.2</v>
      </c>
      <c r="I21" s="319">
        <v>104.2</v>
      </c>
      <c r="J21" s="319"/>
      <c r="K21" s="320"/>
      <c r="L21" s="321">
        <v>43467.63276559028</v>
      </c>
      <c r="M21" s="316">
        <f>Dashboard!$B$11*SUMIFS(Investment!$F:$F,Investment!$E:$E,$G21)</f>
        <v>12048.61847</v>
      </c>
      <c r="N21" s="324">
        <f t="shared" si="2"/>
        <v>37463</v>
      </c>
      <c r="O21" s="326">
        <f t="shared" si="3"/>
        <v>0.0298</v>
      </c>
      <c r="P21" s="327">
        <f t="shared" si="4"/>
        <v>0.0245</v>
      </c>
      <c r="Q21" s="327">
        <f t="shared" si="5"/>
        <v>0.0015</v>
      </c>
      <c r="R21" s="327">
        <f t="shared" si="6"/>
        <v>0.002</v>
      </c>
      <c r="S21" s="328">
        <f t="shared" si="7"/>
        <v>0.212602</v>
      </c>
      <c r="T21" s="329">
        <f>$M21*(($O21+$P21-$Q21)*Dashboard!$B$10/12-$R21)</f>
        <v>386.9511548</v>
      </c>
      <c r="U21" s="330">
        <f t="shared" si="8"/>
        <v>0.03211581109</v>
      </c>
      <c r="V21" s="315" t="s">
        <v>741</v>
      </c>
      <c r="W21" s="315" t="s">
        <v>1092</v>
      </c>
      <c r="X21" s="315" t="s">
        <v>743</v>
      </c>
      <c r="Y21" s="315" t="s">
        <v>1093</v>
      </c>
      <c r="Z21" s="315" t="s">
        <v>1094</v>
      </c>
      <c r="AA21" s="315" t="s">
        <v>1095</v>
      </c>
      <c r="AB21" s="315" t="s">
        <v>1096</v>
      </c>
      <c r="AC21" s="315" t="s">
        <v>1097</v>
      </c>
      <c r="AD21" s="315" t="s">
        <v>749</v>
      </c>
      <c r="AE21" s="315"/>
      <c r="AF21" s="315" t="s">
        <v>1098</v>
      </c>
      <c r="AG21" s="315" t="s">
        <v>751</v>
      </c>
      <c r="AH21" s="315" t="s">
        <v>1099</v>
      </c>
      <c r="AI21" s="315" t="s">
        <v>1100</v>
      </c>
      <c r="AJ21" s="315" t="s">
        <v>754</v>
      </c>
      <c r="AK21" s="315" t="s">
        <v>755</v>
      </c>
      <c r="AL21" s="315" t="s">
        <v>756</v>
      </c>
      <c r="AM21" s="315" t="s">
        <v>757</v>
      </c>
      <c r="AN21" s="315" t="s">
        <v>758</v>
      </c>
      <c r="AO21" s="315" t="s">
        <v>759</v>
      </c>
    </row>
    <row r="22">
      <c r="A22" s="315" t="s">
        <v>1101</v>
      </c>
      <c r="B22" s="315" t="s">
        <v>736</v>
      </c>
      <c r="C22" s="315" t="str">
        <f t="shared" si="1"/>
        <v>US</v>
      </c>
      <c r="D22" s="316"/>
      <c r="E22" s="317" t="s">
        <v>1103</v>
      </c>
      <c r="F22" s="318" t="s">
        <v>534</v>
      </c>
      <c r="G22" s="318" t="s">
        <v>379</v>
      </c>
      <c r="H22" s="319">
        <v>63.47</v>
      </c>
      <c r="I22" s="319">
        <v>63.47</v>
      </c>
      <c r="J22" s="319"/>
      <c r="K22" s="320"/>
      <c r="L22" s="321">
        <v>43467.63288268518</v>
      </c>
      <c r="M22" s="316">
        <f>Dashboard!$B$11*SUMIFS(Investment!$F:$F,Investment!$E:$E,$G22)</f>
        <v>12048.61847</v>
      </c>
      <c r="N22" s="324">
        <f t="shared" si="2"/>
        <v>40140</v>
      </c>
      <c r="O22" s="326">
        <f t="shared" si="3"/>
        <v>0.0201</v>
      </c>
      <c r="P22" s="327">
        <f t="shared" si="4"/>
        <v>0.024</v>
      </c>
      <c r="Q22" s="327">
        <f t="shared" si="5"/>
        <v>0.0007</v>
      </c>
      <c r="R22" s="327">
        <f t="shared" si="6"/>
        <v>0.0024</v>
      </c>
      <c r="S22" s="328">
        <f t="shared" si="7"/>
        <v>0.1268</v>
      </c>
      <c r="T22" s="329">
        <f>$M22*(($O22+$P22-$Q22)*Dashboard!$B$10/12-$R22)</f>
        <v>308.9526377</v>
      </c>
      <c r="U22" s="330">
        <f t="shared" si="8"/>
        <v>0.0256421629</v>
      </c>
      <c r="V22" s="315" t="s">
        <v>741</v>
      </c>
      <c r="W22" s="315" t="s">
        <v>1114</v>
      </c>
      <c r="X22" s="315" t="s">
        <v>743</v>
      </c>
      <c r="Y22" s="315" t="s">
        <v>943</v>
      </c>
      <c r="Z22" s="315" t="s">
        <v>1116</v>
      </c>
      <c r="AA22" s="315" t="s">
        <v>1117</v>
      </c>
      <c r="AB22" s="315" t="s">
        <v>1118</v>
      </c>
      <c r="AC22" s="315" t="s">
        <v>1119</v>
      </c>
      <c r="AD22" s="315" t="s">
        <v>1120</v>
      </c>
      <c r="AE22" s="315"/>
      <c r="AF22" s="315" t="s">
        <v>1121</v>
      </c>
      <c r="AG22" s="315" t="s">
        <v>751</v>
      </c>
      <c r="AH22" s="315" t="s">
        <v>1122</v>
      </c>
      <c r="AI22" s="315" t="s">
        <v>1124</v>
      </c>
      <c r="AJ22" s="315" t="s">
        <v>754</v>
      </c>
      <c r="AK22" s="315" t="s">
        <v>755</v>
      </c>
      <c r="AL22" s="315" t="s">
        <v>756</v>
      </c>
      <c r="AM22" s="315" t="s">
        <v>757</v>
      </c>
      <c r="AN22" s="315" t="s">
        <v>806</v>
      </c>
      <c r="AO22" s="315" t="s">
        <v>807</v>
      </c>
    </row>
    <row r="23">
      <c r="A23" s="315" t="s">
        <v>314</v>
      </c>
      <c r="B23" s="315" t="s">
        <v>1038</v>
      </c>
      <c r="C23" s="315" t="str">
        <f t="shared" si="1"/>
        <v>NA</v>
      </c>
      <c r="D23" s="316" t="s">
        <v>737</v>
      </c>
      <c r="E23" s="317" t="s">
        <v>96</v>
      </c>
      <c r="F23" s="318" t="s">
        <v>380</v>
      </c>
      <c r="G23" s="318" t="s">
        <v>379</v>
      </c>
      <c r="H23" s="319">
        <v>168.53</v>
      </c>
      <c r="I23" s="319">
        <v>168.53</v>
      </c>
      <c r="J23" s="319">
        <v>169.79</v>
      </c>
      <c r="K23" s="320"/>
      <c r="L23" s="321">
        <v>43469.74532372685</v>
      </c>
      <c r="M23" s="316">
        <f>Dashboard!$B$11*SUMIFS(Investment!$F:$F,Investment!$E:$E,$G23)</f>
        <v>12048.61847</v>
      </c>
      <c r="N23" s="324">
        <f t="shared" si="2"/>
        <v>39773</v>
      </c>
      <c r="O23" s="326">
        <f t="shared" si="3"/>
        <v>0.0661</v>
      </c>
      <c r="P23" s="327">
        <f t="shared" si="4"/>
        <v>0.0239</v>
      </c>
      <c r="Q23" s="327">
        <f t="shared" si="5"/>
        <v>0.002</v>
      </c>
      <c r="R23" s="327">
        <f t="shared" si="6"/>
        <v>0</v>
      </c>
      <c r="S23" s="328">
        <f t="shared" si="7"/>
        <v>2.4458</v>
      </c>
      <c r="T23" s="329">
        <f>$M23*(($O23+$P23-$Q23)*Dashboard!$B$10/12-$R23)</f>
        <v>685.0806529</v>
      </c>
      <c r="U23" s="330">
        <f t="shared" si="8"/>
        <v>0.05685968515</v>
      </c>
      <c r="V23" s="315" t="s">
        <v>741</v>
      </c>
      <c r="W23" s="315" t="s">
        <v>1136</v>
      </c>
      <c r="X23" s="315" t="s">
        <v>1137</v>
      </c>
      <c r="Y23" s="315" t="s">
        <v>1138</v>
      </c>
      <c r="Z23" s="315" t="s">
        <v>1139</v>
      </c>
      <c r="AA23" s="315" t="s">
        <v>1140</v>
      </c>
      <c r="AB23" s="315" t="s">
        <v>1142</v>
      </c>
      <c r="AC23" s="315" t="s">
        <v>1143</v>
      </c>
      <c r="AD23" s="315" t="s">
        <v>1145</v>
      </c>
      <c r="AE23" s="315"/>
      <c r="AF23" s="315" t="s">
        <v>1146</v>
      </c>
      <c r="AG23" s="315" t="s">
        <v>834</v>
      </c>
      <c r="AH23" s="315" t="s">
        <v>1147</v>
      </c>
      <c r="AI23" s="315" t="s">
        <v>1149</v>
      </c>
      <c r="AJ23" s="315" t="s">
        <v>754</v>
      </c>
      <c r="AK23" s="315" t="s">
        <v>755</v>
      </c>
      <c r="AL23" s="315" t="s">
        <v>756</v>
      </c>
      <c r="AM23" s="315" t="s">
        <v>757</v>
      </c>
      <c r="AN23" s="315" t="s">
        <v>821</v>
      </c>
      <c r="AO23" s="315" t="s">
        <v>822</v>
      </c>
    </row>
    <row r="24">
      <c r="A24" s="332" t="s">
        <v>1150</v>
      </c>
      <c r="B24" s="332" t="s">
        <v>761</v>
      </c>
      <c r="C24" s="332" t="str">
        <f t="shared" si="1"/>
        <v>US</v>
      </c>
      <c r="D24" s="333" t="s">
        <v>737</v>
      </c>
      <c r="E24" s="334" t="s">
        <v>1152</v>
      </c>
      <c r="F24" s="335" t="s">
        <v>1155</v>
      </c>
      <c r="G24" s="335" t="s">
        <v>367</v>
      </c>
      <c r="H24" s="336">
        <v>14.49</v>
      </c>
      <c r="I24" s="336">
        <v>14.49</v>
      </c>
      <c r="J24" s="336"/>
      <c r="K24" s="337"/>
      <c r="L24" s="338">
        <v>43467.63311947917</v>
      </c>
      <c r="M24" s="333">
        <f>Dashboard!$B$11*SUMIFS(Investment!$F:$F,Investment!$E:$E,$G24)</f>
        <v>6024.309237</v>
      </c>
      <c r="N24" s="339">
        <f t="shared" si="2"/>
        <v>38751</v>
      </c>
      <c r="O24" s="340">
        <f t="shared" si="3"/>
        <v>-0.1056</v>
      </c>
      <c r="P24" s="341">
        <f t="shared" si="4"/>
        <v>0.013</v>
      </c>
      <c r="Q24" s="341">
        <f t="shared" si="5"/>
        <v>0.0089</v>
      </c>
      <c r="R24" s="341">
        <f t="shared" si="6"/>
        <v>0.002</v>
      </c>
      <c r="S24" s="342">
        <f t="shared" si="7"/>
        <v>0.18853</v>
      </c>
      <c r="T24" s="343">
        <f>$M24*(($O24+$P24-$Q24)*Dashboard!$B$10/12-$R24)</f>
        <v>-407.137745</v>
      </c>
      <c r="U24" s="344">
        <f t="shared" si="8"/>
        <v>-0.06758247775</v>
      </c>
      <c r="V24" s="332" t="s">
        <v>741</v>
      </c>
      <c r="W24" s="332" t="s">
        <v>1159</v>
      </c>
      <c r="X24" s="332" t="s">
        <v>743</v>
      </c>
      <c r="Y24" s="332" t="s">
        <v>1160</v>
      </c>
      <c r="Z24" s="332" t="s">
        <v>1161</v>
      </c>
      <c r="AA24" s="332" t="s">
        <v>1162</v>
      </c>
      <c r="AB24" s="332" t="s">
        <v>1163</v>
      </c>
      <c r="AC24" s="332" t="s">
        <v>1164</v>
      </c>
      <c r="AD24" s="332" t="s">
        <v>1165</v>
      </c>
      <c r="AE24" s="332"/>
      <c r="AF24" s="332" t="s">
        <v>1166</v>
      </c>
      <c r="AG24" s="332" t="s">
        <v>1167</v>
      </c>
      <c r="AH24" s="332" t="s">
        <v>1168</v>
      </c>
      <c r="AI24" s="332" t="s">
        <v>1169</v>
      </c>
      <c r="AJ24" s="332" t="s">
        <v>754</v>
      </c>
      <c r="AK24" s="332" t="s">
        <v>755</v>
      </c>
      <c r="AL24" s="332" t="s">
        <v>756</v>
      </c>
      <c r="AM24" s="332" t="s">
        <v>757</v>
      </c>
      <c r="AN24" s="332" t="s">
        <v>1170</v>
      </c>
      <c r="AO24" s="332" t="s">
        <v>1171</v>
      </c>
    </row>
    <row r="25">
      <c r="A25" s="332" t="s">
        <v>1172</v>
      </c>
      <c r="B25" s="332" t="s">
        <v>761</v>
      </c>
      <c r="C25" s="332" t="str">
        <f t="shared" si="1"/>
        <v>US</v>
      </c>
      <c r="D25" s="333" t="s">
        <v>737</v>
      </c>
      <c r="E25" s="334" t="s">
        <v>1173</v>
      </c>
      <c r="F25" s="335" t="s">
        <v>1174</v>
      </c>
      <c r="G25" s="335" t="s">
        <v>367</v>
      </c>
      <c r="H25" s="336">
        <v>14.02</v>
      </c>
      <c r="I25" s="336">
        <v>14.02</v>
      </c>
      <c r="J25" s="336"/>
      <c r="K25" s="337"/>
      <c r="L25" s="338">
        <v>43467.63324310185</v>
      </c>
      <c r="M25" s="333">
        <f>Dashboard!$B$11*SUMIFS(Investment!$F:$F,Investment!$E:$E,$G25)</f>
        <v>6024.309237</v>
      </c>
      <c r="N25" s="339">
        <f t="shared" si="2"/>
        <v>38919</v>
      </c>
      <c r="O25" s="340">
        <f t="shared" si="3"/>
        <v>-0.1531</v>
      </c>
      <c r="P25" s="341" t="str">
        <f t="shared" si="4"/>
        <v/>
      </c>
      <c r="Q25" s="341">
        <f t="shared" si="5"/>
        <v>0.0075</v>
      </c>
      <c r="R25" s="341">
        <f t="shared" si="6"/>
        <v>0.002</v>
      </c>
      <c r="S25" s="342" t="str">
        <f t="shared" si="7"/>
        <v/>
      </c>
      <c r="T25" s="345">
        <f>$M25*(($O25+$P25-$Q25)*Dashboard!$B$10/12-$R25)</f>
        <v>-637.1847142</v>
      </c>
      <c r="U25" s="347">
        <f t="shared" si="8"/>
        <v>-0.1057689254</v>
      </c>
      <c r="V25" s="332" t="s">
        <v>741</v>
      </c>
      <c r="W25" s="332" t="s">
        <v>1177</v>
      </c>
      <c r="X25" s="332" t="s">
        <v>743</v>
      </c>
      <c r="Y25" s="332" t="s">
        <v>1178</v>
      </c>
      <c r="Z25" s="332" t="s">
        <v>1179</v>
      </c>
      <c r="AA25" s="332" t="s">
        <v>1180</v>
      </c>
      <c r="AB25" s="332" t="s">
        <v>1181</v>
      </c>
      <c r="AC25" s="332" t="s">
        <v>1182</v>
      </c>
      <c r="AD25" s="332" t="s">
        <v>1183</v>
      </c>
      <c r="AE25" s="332"/>
      <c r="AF25" s="332" t="s">
        <v>1184</v>
      </c>
      <c r="AG25" s="332" t="s">
        <v>773</v>
      </c>
      <c r="AH25" s="332" t="s">
        <v>1185</v>
      </c>
      <c r="AI25" s="332" t="s">
        <v>1186</v>
      </c>
      <c r="AJ25" s="332" t="s">
        <v>754</v>
      </c>
      <c r="AK25" s="332" t="s">
        <v>755</v>
      </c>
      <c r="AL25" s="332" t="s">
        <v>756</v>
      </c>
      <c r="AM25" s="332" t="s">
        <v>757</v>
      </c>
      <c r="AN25" s="332" t="s">
        <v>776</v>
      </c>
      <c r="AO25" s="332" t="s">
        <v>1187</v>
      </c>
    </row>
    <row r="26">
      <c r="A26" s="332" t="s">
        <v>1188</v>
      </c>
      <c r="B26" s="332" t="s">
        <v>761</v>
      </c>
      <c r="C26" s="332" t="str">
        <f t="shared" si="1"/>
        <v>US</v>
      </c>
      <c r="D26" s="333" t="s">
        <v>737</v>
      </c>
      <c r="E26" s="334" t="s">
        <v>1189</v>
      </c>
      <c r="F26" s="335" t="s">
        <v>1190</v>
      </c>
      <c r="G26" s="335" t="s">
        <v>367</v>
      </c>
      <c r="H26" s="336">
        <v>37.53</v>
      </c>
      <c r="I26" s="336">
        <v>37.53</v>
      </c>
      <c r="J26" s="336"/>
      <c r="K26" s="337"/>
      <c r="L26" s="338">
        <v>43467.63336775463</v>
      </c>
      <c r="M26" s="333">
        <f>Dashboard!$B$11*SUMIFS(Investment!$F:$F,Investment!$E:$E,$G26)</f>
        <v>6024.309237</v>
      </c>
      <c r="N26" s="339">
        <f t="shared" si="2"/>
        <v>40400</v>
      </c>
      <c r="O26" s="340">
        <f t="shared" si="3"/>
        <v>-0.0771</v>
      </c>
      <c r="P26" s="341" t="str">
        <f t="shared" si="4"/>
        <v/>
      </c>
      <c r="Q26" s="341">
        <f t="shared" si="5"/>
        <v>0.0111</v>
      </c>
      <c r="R26" s="341">
        <f t="shared" si="6"/>
        <v>0.002</v>
      </c>
      <c r="S26" s="342" t="str">
        <f t="shared" si="7"/>
        <v/>
      </c>
      <c r="T26" s="343">
        <f>$M26*(($O26+$P26-$Q26)*Dashboard!$B$10/12-$R26)</f>
        <v>-355.3674457</v>
      </c>
      <c r="U26" s="344">
        <f t="shared" si="8"/>
        <v>-0.0589889117</v>
      </c>
      <c r="V26" s="332" t="s">
        <v>741</v>
      </c>
      <c r="W26" s="332" t="s">
        <v>1195</v>
      </c>
      <c r="X26" s="332" t="s">
        <v>743</v>
      </c>
      <c r="Y26" s="332" t="s">
        <v>1196</v>
      </c>
      <c r="Z26" s="332" t="s">
        <v>1197</v>
      </c>
      <c r="AA26" s="332" t="s">
        <v>1198</v>
      </c>
      <c r="AB26" s="332" t="s">
        <v>1199</v>
      </c>
      <c r="AC26" s="332" t="s">
        <v>1201</v>
      </c>
      <c r="AD26" s="332" t="s">
        <v>1202</v>
      </c>
      <c r="AE26" s="332"/>
      <c r="AF26" s="332" t="s">
        <v>1033</v>
      </c>
      <c r="AG26" s="332" t="s">
        <v>773</v>
      </c>
      <c r="AH26" s="332" t="s">
        <v>1185</v>
      </c>
      <c r="AI26" s="332" t="s">
        <v>1186</v>
      </c>
      <c r="AJ26" s="332" t="s">
        <v>754</v>
      </c>
      <c r="AK26" s="332" t="s">
        <v>755</v>
      </c>
      <c r="AL26" s="332" t="s">
        <v>756</v>
      </c>
      <c r="AM26" s="332" t="s">
        <v>757</v>
      </c>
      <c r="AN26" s="332" t="s">
        <v>1203</v>
      </c>
      <c r="AO26" s="332" t="s">
        <v>1204</v>
      </c>
    </row>
    <row r="27">
      <c r="A27" s="332" t="s">
        <v>1205</v>
      </c>
      <c r="B27" s="332" t="s">
        <v>761</v>
      </c>
      <c r="C27" s="332" t="str">
        <f t="shared" si="1"/>
        <v>US</v>
      </c>
      <c r="D27" s="333" t="s">
        <v>737</v>
      </c>
      <c r="E27" s="334" t="s">
        <v>1206</v>
      </c>
      <c r="F27" s="335" t="s">
        <v>1207</v>
      </c>
      <c r="G27" s="335" t="s">
        <v>367</v>
      </c>
      <c r="H27" s="336">
        <v>21.22</v>
      </c>
      <c r="I27" s="336">
        <v>21.22</v>
      </c>
      <c r="J27" s="336"/>
      <c r="K27" s="337"/>
      <c r="L27" s="338">
        <v>43467.63347159722</v>
      </c>
      <c r="M27" s="333">
        <f>Dashboard!$B$11*SUMIFS(Investment!$F:$F,Investment!$E:$E,$G27)</f>
        <v>6024.309237</v>
      </c>
      <c r="N27" s="339">
        <f t="shared" si="2"/>
        <v>38874</v>
      </c>
      <c r="O27" s="340">
        <f t="shared" si="3"/>
        <v>-0.104</v>
      </c>
      <c r="P27" s="341" t="str">
        <f t="shared" si="4"/>
        <v/>
      </c>
      <c r="Q27" s="341">
        <f t="shared" si="5"/>
        <v>0.007</v>
      </c>
      <c r="R27" s="341">
        <f t="shared" si="6"/>
        <v>0.002</v>
      </c>
      <c r="S27" s="342" t="str">
        <f t="shared" si="7"/>
        <v/>
      </c>
      <c r="T27" s="343">
        <f>$M27*(($O27+$P27-$Q27)*Dashboard!$B$10/12-$R27)</f>
        <v>-444.1165302</v>
      </c>
      <c r="U27" s="344">
        <f t="shared" si="8"/>
        <v>-0.07372073922</v>
      </c>
      <c r="V27" s="332" t="s">
        <v>741</v>
      </c>
      <c r="W27" s="332" t="s">
        <v>1211</v>
      </c>
      <c r="X27" s="332" t="s">
        <v>743</v>
      </c>
      <c r="Y27" s="332" t="s">
        <v>1212</v>
      </c>
      <c r="Z27" s="332" t="s">
        <v>1213</v>
      </c>
      <c r="AA27" s="332" t="s">
        <v>1214</v>
      </c>
      <c r="AB27" s="332" t="s">
        <v>1215</v>
      </c>
      <c r="AC27" s="332" t="s">
        <v>1216</v>
      </c>
      <c r="AD27" s="332" t="s">
        <v>1217</v>
      </c>
      <c r="AE27" s="332"/>
      <c r="AF27" s="332" t="s">
        <v>1218</v>
      </c>
      <c r="AG27" s="332" t="s">
        <v>1219</v>
      </c>
      <c r="AH27" s="332" t="s">
        <v>1185</v>
      </c>
      <c r="AI27" s="332" t="s">
        <v>1186</v>
      </c>
      <c r="AJ27" s="332" t="s">
        <v>754</v>
      </c>
      <c r="AK27" s="332" t="s">
        <v>755</v>
      </c>
      <c r="AL27" s="332" t="s">
        <v>756</v>
      </c>
      <c r="AM27" s="332" t="s">
        <v>757</v>
      </c>
      <c r="AN27" s="332" t="s">
        <v>1220</v>
      </c>
      <c r="AO27" s="332" t="s">
        <v>1221</v>
      </c>
    </row>
    <row r="28">
      <c r="A28" s="332" t="s">
        <v>331</v>
      </c>
      <c r="B28" s="332" t="s">
        <v>1222</v>
      </c>
      <c r="C28" s="332" t="str">
        <f t="shared" si="1"/>
        <v>FP</v>
      </c>
      <c r="D28" s="333" t="s">
        <v>737</v>
      </c>
      <c r="E28" s="334" t="s">
        <v>66</v>
      </c>
      <c r="F28" s="335" t="s">
        <v>368</v>
      </c>
      <c r="G28" s="335" t="s">
        <v>367</v>
      </c>
      <c r="H28" s="336">
        <v>6.962</v>
      </c>
      <c r="I28" s="336">
        <v>6.962</v>
      </c>
      <c r="J28" s="336">
        <v>6.837</v>
      </c>
      <c r="K28" s="337"/>
      <c r="L28" s="338">
        <v>43469.74540166667</v>
      </c>
      <c r="M28" s="333">
        <f>Dashboard!$B$11*SUMIFS(Investment!$F:$F,Investment!$E:$E,$G28)</f>
        <v>6024.309237</v>
      </c>
      <c r="N28" s="339">
        <f t="shared" si="2"/>
        <v>39141</v>
      </c>
      <c r="O28" s="340">
        <f t="shared" si="3"/>
        <v>-0.0624</v>
      </c>
      <c r="P28" s="341" t="str">
        <f t="shared" si="4"/>
        <v/>
      </c>
      <c r="Q28" s="341">
        <f t="shared" si="5"/>
        <v>0.0049</v>
      </c>
      <c r="R28" s="341">
        <f t="shared" si="6"/>
        <v>0</v>
      </c>
      <c r="S28" s="342" t="str">
        <f t="shared" si="7"/>
        <v/>
      </c>
      <c r="T28" s="343">
        <f>$M28*(($O28+$P28-$Q28)*Dashboard!$B$10/12-$R28)</f>
        <v>-261.9654997</v>
      </c>
      <c r="U28" s="344">
        <f t="shared" si="8"/>
        <v>-0.04348473648</v>
      </c>
      <c r="V28" s="332" t="s">
        <v>741</v>
      </c>
      <c r="W28" s="332" t="s">
        <v>1227</v>
      </c>
      <c r="X28" s="332" t="s">
        <v>1228</v>
      </c>
      <c r="Y28" s="332" t="s">
        <v>1229</v>
      </c>
      <c r="Z28" s="332" t="s">
        <v>1230</v>
      </c>
      <c r="AA28" s="332" t="s">
        <v>1231</v>
      </c>
      <c r="AB28" s="332" t="s">
        <v>1232</v>
      </c>
      <c r="AC28" s="332" t="s">
        <v>1233</v>
      </c>
      <c r="AD28" s="332" t="s">
        <v>1234</v>
      </c>
      <c r="AE28" s="332"/>
      <c r="AF28" s="332" t="s">
        <v>1235</v>
      </c>
      <c r="AG28" s="332" t="s">
        <v>1011</v>
      </c>
      <c r="AH28" s="332" t="s">
        <v>1185</v>
      </c>
      <c r="AI28" s="332" t="s">
        <v>1186</v>
      </c>
      <c r="AJ28" s="332" t="s">
        <v>754</v>
      </c>
      <c r="AK28" s="332" t="s">
        <v>755</v>
      </c>
      <c r="AL28" s="332" t="s">
        <v>756</v>
      </c>
      <c r="AM28" s="332" t="s">
        <v>757</v>
      </c>
      <c r="AN28" s="332" t="s">
        <v>1236</v>
      </c>
      <c r="AO28" s="332" t="s">
        <v>1237</v>
      </c>
    </row>
    <row r="29">
      <c r="A29" s="332" t="s">
        <v>1239</v>
      </c>
      <c r="B29" s="332" t="s">
        <v>1240</v>
      </c>
      <c r="C29" s="332" t="str">
        <f t="shared" si="1"/>
        <v>TH</v>
      </c>
      <c r="D29" s="333" t="s">
        <v>737</v>
      </c>
      <c r="E29" s="334" t="s">
        <v>1241</v>
      </c>
      <c r="F29" s="335" t="s">
        <v>675</v>
      </c>
      <c r="G29" s="335" t="s">
        <v>367</v>
      </c>
      <c r="H29" s="336">
        <v>16.993</v>
      </c>
      <c r="I29" s="336">
        <v>16.993</v>
      </c>
      <c r="J29" s="336"/>
      <c r="K29" s="337"/>
      <c r="L29" s="338">
        <v>43467.63372484954</v>
      </c>
      <c r="M29" s="152">
        <f>Dashboard!$B$11*SUMIFS(Investment!$F:$F,Investment!$E:$E,$G29)</f>
        <v>6024.309237</v>
      </c>
      <c r="N29" s="339">
        <f t="shared" si="2"/>
        <v>39301</v>
      </c>
      <c r="O29" s="340">
        <f t="shared" si="3"/>
        <v>-0.0621</v>
      </c>
      <c r="P29" s="341" t="str">
        <f t="shared" si="4"/>
        <v/>
      </c>
      <c r="Q29" s="341">
        <f t="shared" si="5"/>
        <v>0.0046</v>
      </c>
      <c r="R29" s="341">
        <f t="shared" si="6"/>
        <v>0</v>
      </c>
      <c r="S29" s="342">
        <f t="shared" si="7"/>
        <v>0.000423</v>
      </c>
      <c r="T29" s="343">
        <f>$M29*(($O29+$P29-$Q29)*Dashboard!$B$10/12-$R29)</f>
        <v>-259.6299974</v>
      </c>
      <c r="U29" s="344">
        <f t="shared" si="8"/>
        <v>-0.04309705681</v>
      </c>
      <c r="V29" s="332" t="s">
        <v>741</v>
      </c>
      <c r="W29" s="332" t="s">
        <v>1244</v>
      </c>
      <c r="X29" s="332" t="s">
        <v>1245</v>
      </c>
      <c r="Y29" s="332" t="s">
        <v>1246</v>
      </c>
      <c r="Z29" s="332" t="s">
        <v>1247</v>
      </c>
      <c r="AA29" s="332" t="s">
        <v>1248</v>
      </c>
      <c r="AB29" s="332" t="s">
        <v>1249</v>
      </c>
      <c r="AC29" s="332" t="s">
        <v>1250</v>
      </c>
      <c r="AD29" s="332" t="s">
        <v>1251</v>
      </c>
      <c r="AE29" s="332"/>
      <c r="AF29" s="332" t="s">
        <v>1252</v>
      </c>
      <c r="AG29" s="332" t="s">
        <v>1253</v>
      </c>
      <c r="AH29" s="332" t="s">
        <v>1254</v>
      </c>
      <c r="AI29" s="332" t="s">
        <v>1186</v>
      </c>
      <c r="AJ29" s="332" t="s">
        <v>754</v>
      </c>
      <c r="AK29" s="332" t="s">
        <v>755</v>
      </c>
      <c r="AL29" s="332" t="s">
        <v>756</v>
      </c>
      <c r="AM29" s="332" t="s">
        <v>757</v>
      </c>
      <c r="AN29" s="332" t="s">
        <v>1255</v>
      </c>
      <c r="AO29" s="332" t="s">
        <v>1256</v>
      </c>
    </row>
    <row r="30">
      <c r="A30" s="358" t="s">
        <v>1257</v>
      </c>
      <c r="B30" s="358" t="s">
        <v>761</v>
      </c>
      <c r="C30" s="358" t="str">
        <f t="shared" si="1"/>
        <v>US</v>
      </c>
      <c r="D30" s="359"/>
      <c r="E30" s="360" t="s">
        <v>1258</v>
      </c>
      <c r="F30" s="361" t="s">
        <v>1259</v>
      </c>
      <c r="G30" s="361" t="s">
        <v>385</v>
      </c>
      <c r="H30" s="362">
        <v>12.585</v>
      </c>
      <c r="I30" s="362">
        <f>IFERROR(__xludf.DUMMYFUNCTION("importxml(""https://www.bloomberg.com/quote/"" &amp; A30 &amp; "":"" &amp; C30, ""//meta[@itemprop='price']/@content"")"),12.615)</f>
        <v>12.615</v>
      </c>
      <c r="J30" s="362"/>
      <c r="K30" s="363"/>
      <c r="L30" s="364">
        <v>43467.63381246528</v>
      </c>
      <c r="M30" s="359">
        <f>Dashboard!$B$11*SUMIFS(Investment!$F:$F,Investment!$E:$E,$G30)</f>
        <v>6024.309237</v>
      </c>
      <c r="N30" s="365">
        <f t="shared" si="2"/>
        <v>41775</v>
      </c>
      <c r="O30" s="366">
        <f t="shared" si="3"/>
        <v>0.0615</v>
      </c>
      <c r="P30" s="367" t="str">
        <f t="shared" si="4"/>
        <v/>
      </c>
      <c r="Q30" s="367">
        <f t="shared" si="5"/>
        <v>0.004</v>
      </c>
      <c r="R30" s="367">
        <f t="shared" si="6"/>
        <v>0.0024</v>
      </c>
      <c r="S30" s="369" t="str">
        <f t="shared" si="7"/>
        <v/>
      </c>
      <c r="T30" s="370">
        <f>$M30*(($O30+$P30-$Q30)*Dashboard!$B$10/12-$R30)</f>
        <v>209.3606211</v>
      </c>
      <c r="U30" s="371">
        <f t="shared" si="8"/>
        <v>0.03475263518</v>
      </c>
      <c r="V30" s="358" t="s">
        <v>741</v>
      </c>
      <c r="W30" s="358" t="s">
        <v>1265</v>
      </c>
      <c r="X30" s="358" t="s">
        <v>743</v>
      </c>
      <c r="Y30" s="358" t="s">
        <v>1266</v>
      </c>
      <c r="Z30" s="358" t="s">
        <v>1267</v>
      </c>
      <c r="AA30" s="358" t="s">
        <v>813</v>
      </c>
      <c r="AB30" s="358" t="s">
        <v>1268</v>
      </c>
      <c r="AC30" s="358" t="s">
        <v>1269</v>
      </c>
      <c r="AD30" s="358" t="s">
        <v>1270</v>
      </c>
      <c r="AE30" s="358"/>
      <c r="AF30" s="358" t="s">
        <v>1271</v>
      </c>
      <c r="AG30" s="358" t="s">
        <v>1011</v>
      </c>
      <c r="AH30" s="358" t="s">
        <v>1185</v>
      </c>
      <c r="AI30" s="358" t="s">
        <v>1186</v>
      </c>
      <c r="AJ30" s="358" t="s">
        <v>754</v>
      </c>
      <c r="AK30" s="358" t="s">
        <v>755</v>
      </c>
      <c r="AL30" s="358" t="s">
        <v>756</v>
      </c>
      <c r="AM30" s="358" t="s">
        <v>757</v>
      </c>
      <c r="AN30" s="358" t="s">
        <v>1272</v>
      </c>
      <c r="AO30" s="358" t="s">
        <v>1273</v>
      </c>
    </row>
    <row r="31">
      <c r="A31" s="358" t="s">
        <v>1274</v>
      </c>
      <c r="B31" s="358" t="s">
        <v>761</v>
      </c>
      <c r="C31" s="358" t="str">
        <f t="shared" si="1"/>
        <v>US</v>
      </c>
      <c r="D31" s="359" t="s">
        <v>737</v>
      </c>
      <c r="E31" s="360" t="s">
        <v>1275</v>
      </c>
      <c r="F31" s="361" t="s">
        <v>547</v>
      </c>
      <c r="G31" s="361" t="s">
        <v>385</v>
      </c>
      <c r="H31" s="362">
        <v>12.29</v>
      </c>
      <c r="I31" s="362">
        <v>12.29</v>
      </c>
      <c r="J31" s="362"/>
      <c r="K31" s="363"/>
      <c r="L31" s="364">
        <v>43467.633925277776</v>
      </c>
      <c r="M31" s="359">
        <f>Dashboard!$B$11*SUMIFS(Investment!$F:$F,Investment!$E:$E,$G31)</f>
        <v>6024.309237</v>
      </c>
      <c r="N31" s="365">
        <f t="shared" si="2"/>
        <v>38380</v>
      </c>
      <c r="O31" s="366">
        <f t="shared" si="3"/>
        <v>0.063</v>
      </c>
      <c r="P31" s="367" t="str">
        <f t="shared" si="4"/>
        <v/>
      </c>
      <c r="Q31" s="367">
        <f t="shared" si="5"/>
        <v>0.0025</v>
      </c>
      <c r="R31" s="367">
        <f t="shared" si="6"/>
        <v>0.002</v>
      </c>
      <c r="S31" s="369" t="str">
        <f t="shared" si="7"/>
        <v/>
      </c>
      <c r="T31" s="370">
        <f>$M31*(($O31+$P31-$Q31)*Dashboard!$B$10/12-$R31)</f>
        <v>223.447856</v>
      </c>
      <c r="U31" s="371">
        <f t="shared" si="8"/>
        <v>0.03709103354</v>
      </c>
      <c r="V31" s="358" t="s">
        <v>741</v>
      </c>
      <c r="W31" s="358" t="s">
        <v>1276</v>
      </c>
      <c r="X31" s="358" t="s">
        <v>743</v>
      </c>
      <c r="Y31" s="358" t="s">
        <v>1277</v>
      </c>
      <c r="Z31" s="358" t="s">
        <v>1278</v>
      </c>
      <c r="AA31" s="358" t="s">
        <v>1279</v>
      </c>
      <c r="AB31" s="358" t="s">
        <v>1280</v>
      </c>
      <c r="AC31" s="358" t="s">
        <v>1281</v>
      </c>
      <c r="AD31" s="358" t="s">
        <v>1282</v>
      </c>
      <c r="AE31" s="358"/>
      <c r="AF31" s="358" t="s">
        <v>1283</v>
      </c>
      <c r="AG31" s="358" t="s">
        <v>876</v>
      </c>
      <c r="AH31" s="358" t="s">
        <v>1185</v>
      </c>
      <c r="AI31" s="358" t="s">
        <v>1186</v>
      </c>
      <c r="AJ31" s="358" t="s">
        <v>754</v>
      </c>
      <c r="AK31" s="358" t="s">
        <v>755</v>
      </c>
      <c r="AL31" s="358" t="s">
        <v>756</v>
      </c>
      <c r="AM31" s="358" t="s">
        <v>757</v>
      </c>
      <c r="AN31" s="358" t="s">
        <v>1284</v>
      </c>
      <c r="AO31" s="358" t="s">
        <v>1285</v>
      </c>
    </row>
    <row r="32">
      <c r="A32" s="358" t="s">
        <v>1286</v>
      </c>
      <c r="B32" s="358" t="s">
        <v>761</v>
      </c>
      <c r="C32" s="358" t="str">
        <f t="shared" si="1"/>
        <v>US</v>
      </c>
      <c r="D32" s="359" t="s">
        <v>737</v>
      </c>
      <c r="E32" s="360" t="s">
        <v>1287</v>
      </c>
      <c r="F32" s="361" t="s">
        <v>1288</v>
      </c>
      <c r="G32" s="361" t="s">
        <v>385</v>
      </c>
      <c r="H32" s="362">
        <v>123.68</v>
      </c>
      <c r="I32" s="362">
        <v>123.68</v>
      </c>
      <c r="J32" s="362"/>
      <c r="K32" s="363"/>
      <c r="L32" s="364">
        <v>43467.634011284725</v>
      </c>
      <c r="M32" s="359">
        <f>Dashboard!$B$11*SUMIFS(Investment!$F:$F,Investment!$E:$E,$G32)</f>
        <v>6024.309237</v>
      </c>
      <c r="N32" s="365">
        <f t="shared" si="2"/>
        <v>40065</v>
      </c>
      <c r="O32" s="366">
        <f t="shared" si="3"/>
        <v>0.0612</v>
      </c>
      <c r="P32" s="367" t="str">
        <f t="shared" si="4"/>
        <v/>
      </c>
      <c r="Q32" s="367">
        <f t="shared" si="5"/>
        <v>0.0017</v>
      </c>
      <c r="R32" s="367">
        <f t="shared" si="6"/>
        <v>0.002</v>
      </c>
      <c r="S32" s="369" t="str">
        <f t="shared" si="7"/>
        <v/>
      </c>
      <c r="T32" s="370">
        <f>$M32*(($O32+$P32-$Q32)*Dashboard!$B$10/12-$R32)</f>
        <v>219.5553522</v>
      </c>
      <c r="U32" s="371">
        <f t="shared" si="8"/>
        <v>0.03644490075</v>
      </c>
      <c r="V32" s="358" t="s">
        <v>741</v>
      </c>
      <c r="W32" s="358" t="s">
        <v>1289</v>
      </c>
      <c r="X32" s="358" t="s">
        <v>743</v>
      </c>
      <c r="Y32" s="358" t="s">
        <v>1290</v>
      </c>
      <c r="Z32" s="358" t="s">
        <v>1291</v>
      </c>
      <c r="AA32" s="358" t="s">
        <v>1292</v>
      </c>
      <c r="AB32" s="358" t="s">
        <v>1293</v>
      </c>
      <c r="AC32" s="358" t="s">
        <v>1294</v>
      </c>
      <c r="AD32" s="358" t="s">
        <v>1295</v>
      </c>
      <c r="AE32" s="358"/>
      <c r="AF32" s="358" t="s">
        <v>892</v>
      </c>
      <c r="AG32" s="358" t="s">
        <v>818</v>
      </c>
      <c r="AH32" s="358" t="s">
        <v>1185</v>
      </c>
      <c r="AI32" s="358" t="s">
        <v>1186</v>
      </c>
      <c r="AJ32" s="358" t="s">
        <v>754</v>
      </c>
      <c r="AK32" s="358" t="s">
        <v>755</v>
      </c>
      <c r="AL32" s="358" t="s">
        <v>756</v>
      </c>
      <c r="AM32" s="358" t="s">
        <v>757</v>
      </c>
      <c r="AN32" s="358" t="s">
        <v>1296</v>
      </c>
      <c r="AO32" s="358" t="s">
        <v>1297</v>
      </c>
    </row>
    <row r="33">
      <c r="A33" s="358" t="s">
        <v>1298</v>
      </c>
      <c r="B33" s="358" t="s">
        <v>761</v>
      </c>
      <c r="C33" s="358" t="str">
        <f t="shared" si="1"/>
        <v>US</v>
      </c>
      <c r="D33" s="359" t="s">
        <v>737</v>
      </c>
      <c r="E33" s="360" t="s">
        <v>1299</v>
      </c>
      <c r="F33" s="361" t="s">
        <v>1300</v>
      </c>
      <c r="G33" s="361" t="s">
        <v>385</v>
      </c>
      <c r="H33" s="362">
        <v>121.25</v>
      </c>
      <c r="I33" s="362">
        <v>121.25</v>
      </c>
      <c r="J33" s="362"/>
      <c r="K33" s="363"/>
      <c r="L33" s="364">
        <v>43467.63414533564</v>
      </c>
      <c r="M33" s="359">
        <f>Dashboard!$B$11*SUMIFS(Investment!$F:$F,Investment!$E:$E,$G33)</f>
        <v>6024.309237</v>
      </c>
      <c r="N33" s="365">
        <f t="shared" si="2"/>
        <v>38309</v>
      </c>
      <c r="O33" s="366">
        <f t="shared" si="3"/>
        <v>0.0611</v>
      </c>
      <c r="P33" s="367" t="str">
        <f t="shared" si="4"/>
        <v/>
      </c>
      <c r="Q33" s="367">
        <f t="shared" si="5"/>
        <v>0.004</v>
      </c>
      <c r="R33" s="367">
        <f t="shared" si="6"/>
        <v>0.002</v>
      </c>
      <c r="S33" s="369" t="str">
        <f t="shared" si="7"/>
        <v/>
      </c>
      <c r="T33" s="370">
        <f>$M33*(($O33+$P33-$Q33)*Dashboard!$B$10/12-$R33)</f>
        <v>210.2133433</v>
      </c>
      <c r="U33" s="371">
        <f t="shared" si="8"/>
        <v>0.03489418207</v>
      </c>
      <c r="V33" s="358" t="s">
        <v>741</v>
      </c>
      <c r="W33" s="358" t="s">
        <v>1301</v>
      </c>
      <c r="X33" s="358" t="s">
        <v>743</v>
      </c>
      <c r="Y33" s="358" t="s">
        <v>1290</v>
      </c>
      <c r="Z33" s="358" t="s">
        <v>1302</v>
      </c>
      <c r="AA33" s="358" t="s">
        <v>1303</v>
      </c>
      <c r="AB33" s="358" t="s">
        <v>1304</v>
      </c>
      <c r="AC33" s="358" t="s">
        <v>1305</v>
      </c>
      <c r="AD33" s="358" t="s">
        <v>1306</v>
      </c>
      <c r="AE33" s="358"/>
      <c r="AF33" s="358" t="s">
        <v>1009</v>
      </c>
      <c r="AG33" s="358" t="s">
        <v>876</v>
      </c>
      <c r="AH33" s="358" t="s">
        <v>1185</v>
      </c>
      <c r="AI33" s="358" t="s">
        <v>1186</v>
      </c>
      <c r="AJ33" s="358" t="s">
        <v>754</v>
      </c>
      <c r="AK33" s="358" t="s">
        <v>755</v>
      </c>
      <c r="AL33" s="358" t="s">
        <v>756</v>
      </c>
      <c r="AM33" s="358" t="s">
        <v>757</v>
      </c>
      <c r="AN33" s="358" t="s">
        <v>1272</v>
      </c>
      <c r="AO33" s="358" t="s">
        <v>1273</v>
      </c>
    </row>
    <row r="34">
      <c r="A34" s="358" t="s">
        <v>1307</v>
      </c>
      <c r="B34" s="358" t="s">
        <v>761</v>
      </c>
      <c r="C34" s="358" t="str">
        <f t="shared" si="1"/>
        <v>US</v>
      </c>
      <c r="D34" s="359" t="s">
        <v>737</v>
      </c>
      <c r="E34" s="360" t="s">
        <v>1308</v>
      </c>
      <c r="F34" s="361" t="s">
        <v>1309</v>
      </c>
      <c r="G34" s="361" t="s">
        <v>385</v>
      </c>
      <c r="H34" s="362">
        <v>39.54</v>
      </c>
      <c r="I34" s="362">
        <v>39.54</v>
      </c>
      <c r="J34" s="362"/>
      <c r="K34" s="363"/>
      <c r="L34" s="364">
        <v>43467.63425641204</v>
      </c>
      <c r="M34" s="359">
        <f>Dashboard!$B$11*SUMIFS(Investment!$F:$F,Investment!$E:$E,$G34)</f>
        <v>6024.309237</v>
      </c>
      <c r="N34" s="365">
        <f t="shared" si="2"/>
        <v>39087</v>
      </c>
      <c r="O34" s="366">
        <f t="shared" si="3"/>
        <v>0.0504</v>
      </c>
      <c r="P34" s="367">
        <f t="shared" si="4"/>
        <v>0.0146</v>
      </c>
      <c r="Q34" s="367">
        <f t="shared" si="5"/>
        <v>0.0078</v>
      </c>
      <c r="R34" s="367">
        <f t="shared" si="6"/>
        <v>0.002</v>
      </c>
      <c r="S34" s="369">
        <f t="shared" si="7"/>
        <v>0.57908</v>
      </c>
      <c r="T34" s="370">
        <f>$M34*(($O34+$P34-$Q34)*Dashboard!$B$10/12-$R34)</f>
        <v>210.6025937</v>
      </c>
      <c r="U34" s="371">
        <f t="shared" si="8"/>
        <v>0.03495879535</v>
      </c>
      <c r="V34" s="358" t="s">
        <v>741</v>
      </c>
      <c r="W34" s="358" t="s">
        <v>1310</v>
      </c>
      <c r="X34" s="358" t="s">
        <v>743</v>
      </c>
      <c r="Y34" s="358" t="s">
        <v>1311</v>
      </c>
      <c r="Z34" s="358" t="s">
        <v>1312</v>
      </c>
      <c r="AA34" s="358" t="s">
        <v>1313</v>
      </c>
      <c r="AB34" s="358" t="s">
        <v>1314</v>
      </c>
      <c r="AC34" s="358" t="s">
        <v>1315</v>
      </c>
      <c r="AD34" s="358" t="s">
        <v>1316</v>
      </c>
      <c r="AE34" s="358"/>
      <c r="AF34" s="358" t="e">
        <v>#REF!</v>
      </c>
      <c r="AG34" s="358" t="s">
        <v>773</v>
      </c>
      <c r="AH34" s="358" t="s">
        <v>1317</v>
      </c>
      <c r="AI34" s="358" t="s">
        <v>1318</v>
      </c>
      <c r="AJ34" s="358" t="s">
        <v>754</v>
      </c>
      <c r="AK34" s="358" t="s">
        <v>755</v>
      </c>
      <c r="AL34" s="358" t="s">
        <v>756</v>
      </c>
      <c r="AM34" s="358" t="s">
        <v>757</v>
      </c>
      <c r="AN34" s="358" t="s">
        <v>776</v>
      </c>
      <c r="AO34" s="358" t="s">
        <v>1319</v>
      </c>
    </row>
    <row r="35">
      <c r="A35" s="358" t="s">
        <v>342</v>
      </c>
      <c r="B35" s="358" t="s">
        <v>1038</v>
      </c>
      <c r="C35" s="358" t="str">
        <f t="shared" si="1"/>
        <v>NA</v>
      </c>
      <c r="D35" s="359" t="s">
        <v>737</v>
      </c>
      <c r="E35" s="360" t="s">
        <v>130</v>
      </c>
      <c r="F35" s="361" t="s">
        <v>386</v>
      </c>
      <c r="G35" s="361" t="s">
        <v>385</v>
      </c>
      <c r="H35" s="362">
        <v>107.49</v>
      </c>
      <c r="I35" s="362">
        <v>107.49</v>
      </c>
      <c r="J35" s="362">
        <v>108.1</v>
      </c>
      <c r="K35" s="363"/>
      <c r="L35" s="364">
        <v>43469.74549056713</v>
      </c>
      <c r="M35" s="359">
        <f>Dashboard!$B$11*SUMIFS(Investment!$F:$F,Investment!$E:$E,$G35)</f>
        <v>6024.309237</v>
      </c>
      <c r="N35" s="365">
        <f t="shared" si="2"/>
        <v>39212</v>
      </c>
      <c r="O35" s="366">
        <f t="shared" si="3"/>
        <v>0.0441</v>
      </c>
      <c r="P35" s="367" t="str">
        <f t="shared" si="4"/>
        <v/>
      </c>
      <c r="Q35" s="367">
        <f t="shared" si="5"/>
        <v>0.0039</v>
      </c>
      <c r="R35" s="367">
        <f t="shared" si="6"/>
        <v>0</v>
      </c>
      <c r="S35" s="369" t="str">
        <f t="shared" si="7"/>
        <v/>
      </c>
      <c r="T35" s="370">
        <f>$M35*(($O35+$P35-$Q35)*Dashboard!$B$10/12-$R35)</f>
        <v>156.4786491</v>
      </c>
      <c r="U35" s="371">
        <f t="shared" si="8"/>
        <v>0.02597453799</v>
      </c>
      <c r="V35" s="358" t="s">
        <v>741</v>
      </c>
      <c r="W35" s="358" t="s">
        <v>1320</v>
      </c>
      <c r="X35" s="358" t="s">
        <v>1321</v>
      </c>
      <c r="Y35" s="358" t="s">
        <v>1322</v>
      </c>
      <c r="Z35" s="358" t="s">
        <v>1323</v>
      </c>
      <c r="AA35" s="358" t="s">
        <v>1324</v>
      </c>
      <c r="AB35" s="358" t="s">
        <v>1325</v>
      </c>
      <c r="AC35" s="358" t="s">
        <v>1326</v>
      </c>
      <c r="AD35" s="358" t="s">
        <v>1327</v>
      </c>
      <c r="AE35" s="358"/>
      <c r="AF35" s="358" t="s">
        <v>1328</v>
      </c>
      <c r="AG35" s="358" t="s">
        <v>834</v>
      </c>
      <c r="AH35" s="358" t="s">
        <v>1185</v>
      </c>
      <c r="AI35" s="358" t="s">
        <v>1186</v>
      </c>
      <c r="AJ35" s="358" t="s">
        <v>754</v>
      </c>
      <c r="AK35" s="358" t="s">
        <v>755</v>
      </c>
      <c r="AL35" s="358" t="s">
        <v>756</v>
      </c>
      <c r="AM35" s="358" t="s">
        <v>757</v>
      </c>
      <c r="AN35" s="358" t="s">
        <v>1329</v>
      </c>
      <c r="AO35" s="358" t="s">
        <v>1330</v>
      </c>
    </row>
    <row r="36">
      <c r="A36" s="358" t="s">
        <v>1331</v>
      </c>
      <c r="B36" s="358" t="s">
        <v>1222</v>
      </c>
      <c r="C36" s="358" t="str">
        <f t="shared" si="1"/>
        <v>FP</v>
      </c>
      <c r="D36" s="359" t="s">
        <v>737</v>
      </c>
      <c r="E36" s="360" t="s">
        <v>1332</v>
      </c>
      <c r="F36" s="361" t="s">
        <v>1333</v>
      </c>
      <c r="G36" s="361" t="s">
        <v>385</v>
      </c>
      <c r="H36" s="362">
        <v>101.99</v>
      </c>
      <c r="I36" s="362">
        <v>101.99</v>
      </c>
      <c r="J36" s="362"/>
      <c r="K36" s="363"/>
      <c r="L36" s="364">
        <v>43407.97025716435</v>
      </c>
      <c r="M36" s="359">
        <f>Dashboard!$B$11*SUMIFS(Investment!$F:$F,Investment!$E:$E,$G36)</f>
        <v>6024.309237</v>
      </c>
      <c r="N36" s="365">
        <f t="shared" si="2"/>
        <v>38663</v>
      </c>
      <c r="O36" s="366">
        <f t="shared" si="3"/>
        <v>0.0462</v>
      </c>
      <c r="P36" s="367" t="str">
        <f t="shared" si="4"/>
        <v/>
      </c>
      <c r="Q36" s="367">
        <f t="shared" si="5"/>
        <v>0.004</v>
      </c>
      <c r="R36" s="367">
        <f t="shared" si="6"/>
        <v>0</v>
      </c>
      <c r="S36" s="369" t="str">
        <f t="shared" si="7"/>
        <v/>
      </c>
      <c r="T36" s="370">
        <f>$M36*(($O36+$P36-$Q36)*Dashboard!$B$10/12-$R36)</f>
        <v>164.2636565</v>
      </c>
      <c r="U36" s="371">
        <f t="shared" si="8"/>
        <v>0.02726680356</v>
      </c>
      <c r="V36" s="358" t="s">
        <v>741</v>
      </c>
      <c r="W36" s="358" t="s">
        <v>1334</v>
      </c>
      <c r="X36" s="358" t="s">
        <v>1335</v>
      </c>
      <c r="Y36" s="358" t="s">
        <v>1336</v>
      </c>
      <c r="Z36" s="358" t="s">
        <v>1337</v>
      </c>
      <c r="AA36" s="358" t="s">
        <v>1338</v>
      </c>
      <c r="AB36" s="358" t="s">
        <v>1339</v>
      </c>
      <c r="AC36" s="358" t="s">
        <v>1340</v>
      </c>
      <c r="AD36" s="358" t="s">
        <v>1341</v>
      </c>
      <c r="AE36" s="358"/>
      <c r="AF36" s="358" t="s">
        <v>1342</v>
      </c>
      <c r="AG36" s="358" t="s">
        <v>834</v>
      </c>
      <c r="AH36" s="358" t="s">
        <v>1185</v>
      </c>
      <c r="AI36" s="358" t="s">
        <v>1186</v>
      </c>
      <c r="AJ36" s="358" t="s">
        <v>754</v>
      </c>
      <c r="AK36" s="358" t="s">
        <v>755</v>
      </c>
      <c r="AL36" s="358" t="s">
        <v>756</v>
      </c>
      <c r="AM36" s="358" t="s">
        <v>757</v>
      </c>
      <c r="AN36" s="358" t="s">
        <v>1272</v>
      </c>
      <c r="AO36" s="358" t="s">
        <v>1273</v>
      </c>
    </row>
  </sheetData>
  <autoFilter ref="$A$1:$AO$36"/>
  <conditionalFormatting sqref="C2:C36">
    <cfRule type="containsBlanks" dxfId="5" priority="1">
      <formula>LEN(TRIM(C2))=0</formula>
    </cfRule>
  </conditionalFormatting>
  <conditionalFormatting sqref="R1:R36">
    <cfRule type="cellIs" dxfId="20" priority="2" operator="equal">
      <formula>0</formula>
    </cfRule>
  </conditionalFormatting>
  <conditionalFormatting sqref="A1:AO36">
    <cfRule type="expression" dxfId="0" priority="3">
      <formula>VLOOKUP($A1,INDIRECT("Investment!$A:$A"),1,false) &lt;&gt; ""</formula>
    </cfRule>
  </conditionalFormatting>
  <dataValidations>
    <dataValidation type="list" allowBlank="1" sqref="G2:G13 G15:G36">
      <formula1>Investment!$E$2:$E$6</formula1>
    </dataValidation>
    <dataValidation type="list" allowBlank="1" showErrorMessage="1" sqref="G14">
      <formula1>Investment!$E$2:$E$6</formula1>
    </dataValidation>
    <dataValidation type="list" allowBlank="1" showErrorMessage="1" sqref="B2:B36">
      <formula1>"NYSEARCA,FRA,AMS,NASDAQ,EPA,BATS,LON"</formula1>
    </dataValidation>
  </dataValidation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9.86"/>
  </cols>
  <sheetData>
    <row r="1" ht="14.25" customHeight="1">
      <c r="A1" s="290" t="s">
        <v>27</v>
      </c>
      <c r="B1" s="290" t="s">
        <v>1</v>
      </c>
    </row>
    <row r="2" ht="14.25" customHeight="1">
      <c r="A2" s="291">
        <v>43466.0</v>
      </c>
      <c r="B2" s="292">
        <f>-SUMIFS(ExpensesHistoric!C:C,ExpensesHistoric!A:A,"&gt;=" &amp; DATE(YEAR(A2),MONTH(A2),1),ExpensesHistoric!A:A,"&lt;=" &amp; EOMONTH(DATE(YEAR(A2),MONTH(A2),1),0),ExpensesHistoric!E:E,"=X")</f>
        <v>0</v>
      </c>
    </row>
    <row r="3" ht="14.25" customHeight="1">
      <c r="A3" s="291">
        <v>43435.0</v>
      </c>
      <c r="B3" s="292">
        <f>-SUMIFS(ExpensesHistoric!C:C,ExpensesHistoric!A:A,"&gt;=" &amp; DATE(YEAR(A3),MONTH(A3),1),ExpensesHistoric!A:A,"&lt;=" &amp; EOMONTH(DATE(YEAR(A3),MONTH(A3),1),0),ExpensesHistoric!E:E,"=X")</f>
        <v>325.25</v>
      </c>
    </row>
    <row r="4" ht="14.25" customHeight="1">
      <c r="A4" s="291">
        <v>43405.0</v>
      </c>
      <c r="B4" s="292">
        <f>-SUMIFS(ExpensesHistoric!C:C,ExpensesHistoric!A:A,"&gt;=" &amp; DATE(YEAR(A4),MONTH(A4),1),ExpensesHistoric!A:A,"&lt;=" &amp; EOMONTH(DATE(YEAR(A4),MONTH(A4),1),0),ExpensesHistoric!E:E,"=X")</f>
        <v>133.55</v>
      </c>
    </row>
    <row r="5" ht="14.25" customHeight="1">
      <c r="A5" s="291">
        <v>43374.0</v>
      </c>
      <c r="B5" s="292">
        <v>141.35</v>
      </c>
    </row>
    <row r="6" ht="14.25" customHeight="1">
      <c r="A6" s="291">
        <v>43344.0</v>
      </c>
      <c r="B6" s="292">
        <v>71.35</v>
      </c>
    </row>
    <row r="7" ht="14.25" customHeight="1">
      <c r="A7" s="291">
        <v>43313.0</v>
      </c>
      <c r="B7" s="292">
        <v>707.3299999999995</v>
      </c>
    </row>
    <row r="8" ht="14.25" customHeight="1">
      <c r="A8" s="291">
        <v>43282.0</v>
      </c>
      <c r="B8" s="292">
        <v>0.0</v>
      </c>
    </row>
    <row r="9" ht="14.25" customHeight="1">
      <c r="A9" s="291">
        <v>43252.0</v>
      </c>
      <c r="B9" s="292">
        <v>894.53</v>
      </c>
    </row>
    <row r="10" ht="14.25" customHeight="1">
      <c r="A10" s="291">
        <v>43221.0</v>
      </c>
      <c r="B10" s="292">
        <v>119.68</v>
      </c>
    </row>
    <row r="11" ht="14.25" customHeight="1">
      <c r="A11" s="291">
        <v>43191.0</v>
      </c>
      <c r="B11" s="292">
        <v>5.2</v>
      </c>
    </row>
    <row r="12" ht="14.25" customHeight="1">
      <c r="A12" s="291">
        <v>43160.0</v>
      </c>
      <c r="B12" s="292">
        <v>119.54</v>
      </c>
    </row>
    <row r="13" ht="14.25" customHeight="1">
      <c r="A13" s="291">
        <v>43132.0</v>
      </c>
      <c r="B13" s="292">
        <v>11.649999999999999</v>
      </c>
    </row>
    <row r="14" ht="14.25" customHeight="1">
      <c r="A14" s="291">
        <v>43102.0</v>
      </c>
      <c r="B14" s="292">
        <v>110.64999999999999</v>
      </c>
    </row>
    <row r="15" ht="14.25" customHeight="1">
      <c r="A15" s="291">
        <v>43070.0</v>
      </c>
      <c r="B15" s="292">
        <v>155.72</v>
      </c>
    </row>
    <row r="16" ht="14.25" customHeight="1">
      <c r="A16" s="291">
        <v>43040.0</v>
      </c>
      <c r="B16" s="292">
        <v>130.35</v>
      </c>
    </row>
    <row r="17" ht="14.25" customHeight="1">
      <c r="A17" s="291">
        <v>43009.0</v>
      </c>
      <c r="B17" s="292">
        <v>289.12</v>
      </c>
    </row>
    <row r="18" ht="14.25" customHeight="1">
      <c r="A18" s="291">
        <v>42979.0</v>
      </c>
      <c r="B18" s="293">
        <v>215.58</v>
      </c>
    </row>
    <row r="19" ht="14.25" customHeight="1">
      <c r="A19" s="291">
        <v>42948.0</v>
      </c>
      <c r="B19" s="293">
        <v>170.27</v>
      </c>
    </row>
    <row r="20" ht="14.25" customHeight="1">
      <c r="A20" s="291">
        <v>42917.0</v>
      </c>
      <c r="B20" s="293">
        <v>464.82</v>
      </c>
    </row>
    <row r="21" ht="14.25" customHeight="1">
      <c r="A21" s="291">
        <v>42887.0</v>
      </c>
      <c r="B21" s="293">
        <v>168.35</v>
      </c>
    </row>
    <row r="22" ht="14.25" customHeight="1">
      <c r="A22" s="291">
        <v>42856.0</v>
      </c>
      <c r="B22" s="293">
        <v>886.75</v>
      </c>
    </row>
    <row r="23" ht="14.25" customHeight="1">
      <c r="A23" s="291">
        <v>42826.0</v>
      </c>
      <c r="B23" s="293">
        <v>373.54</v>
      </c>
    </row>
    <row r="24" ht="14.25" customHeight="1">
      <c r="A24" s="291">
        <v>42795.0</v>
      </c>
      <c r="B24" s="294">
        <v>55.23</v>
      </c>
    </row>
    <row r="25" ht="14.25" customHeight="1">
      <c r="A25" s="291">
        <v>42767.0</v>
      </c>
      <c r="B25" s="294">
        <v>82.39</v>
      </c>
    </row>
    <row r="26" ht="14.25" customHeight="1">
      <c r="A26" s="291">
        <v>42736.0</v>
      </c>
      <c r="B26" s="294">
        <v>426.11</v>
      </c>
    </row>
    <row r="27" ht="14.25" customHeight="1">
      <c r="A27" s="291">
        <v>42705.0</v>
      </c>
      <c r="B27" s="294">
        <v>388.92</v>
      </c>
    </row>
    <row r="28" ht="14.25" customHeight="1">
      <c r="A28" s="291">
        <v>42675.0</v>
      </c>
      <c r="B28" s="294">
        <v>1063.55</v>
      </c>
    </row>
    <row r="29" ht="14.25" customHeight="1">
      <c r="A29" s="291">
        <v>42644.0</v>
      </c>
      <c r="B29" s="294">
        <v>0.0</v>
      </c>
    </row>
    <row r="30" ht="14.25" customHeight="1">
      <c r="A30" s="291">
        <v>42614.0</v>
      </c>
      <c r="B30" s="294">
        <v>47.18</v>
      </c>
    </row>
    <row r="31" ht="14.25" customHeight="1">
      <c r="A31" s="291">
        <v>42583.0</v>
      </c>
      <c r="B31" s="294">
        <v>1438.72</v>
      </c>
    </row>
    <row r="32" ht="14.25" customHeight="1">
      <c r="A32" s="291">
        <v>42552.0</v>
      </c>
      <c r="B32" s="294">
        <v>208.78</v>
      </c>
    </row>
    <row r="33" ht="14.25" customHeight="1">
      <c r="A33" s="291">
        <v>42522.0</v>
      </c>
      <c r="B33" s="294">
        <v>83.03</v>
      </c>
    </row>
    <row r="34" ht="14.25" customHeight="1">
      <c r="A34" s="291">
        <v>42491.0</v>
      </c>
      <c r="B34" s="294">
        <v>20.0</v>
      </c>
    </row>
    <row r="35" ht="14.25" customHeight="1">
      <c r="A35" s="291">
        <v>42461.0</v>
      </c>
      <c r="B35" s="294">
        <v>0.0</v>
      </c>
    </row>
    <row r="36" ht="14.25" customHeight="1">
      <c r="A36" s="291">
        <v>42430.0</v>
      </c>
      <c r="B36" s="294">
        <v>0.0</v>
      </c>
    </row>
    <row r="37" ht="14.25" customHeight="1">
      <c r="A37" s="291">
        <v>42401.0</v>
      </c>
      <c r="B37" s="294">
        <v>138.03</v>
      </c>
    </row>
    <row r="38" ht="14.25" customHeight="1">
      <c r="A38" s="291">
        <v>42370.0</v>
      </c>
      <c r="B38" s="294">
        <v>101.8</v>
      </c>
    </row>
    <row r="39" ht="14.25" customHeight="1">
      <c r="A39" s="291">
        <v>42339.0</v>
      </c>
      <c r="B39" s="294">
        <v>265.03</v>
      </c>
    </row>
    <row r="40" ht="14.25" customHeight="1">
      <c r="A40" s="291">
        <v>42309.0</v>
      </c>
      <c r="B40" s="294">
        <v>28.97</v>
      </c>
    </row>
    <row r="41" ht="14.25" customHeight="1">
      <c r="A41" s="291">
        <v>42278.0</v>
      </c>
      <c r="B41" s="294">
        <v>160.67</v>
      </c>
    </row>
    <row r="42" ht="14.25" customHeight="1">
      <c r="A42" s="291">
        <v>42248.0</v>
      </c>
      <c r="B42" s="294">
        <v>1401.46</v>
      </c>
    </row>
    <row r="43" ht="14.25" customHeight="1">
      <c r="A43" s="291">
        <v>42217.0</v>
      </c>
      <c r="B43" s="294">
        <v>529.05</v>
      </c>
    </row>
    <row r="44" ht="14.25" customHeight="1">
      <c r="A44" s="291">
        <v>42186.0</v>
      </c>
      <c r="B44" s="294">
        <v>0.12</v>
      </c>
    </row>
    <row r="45" ht="14.25" customHeight="1">
      <c r="A45" s="291">
        <v>42156.0</v>
      </c>
      <c r="B45" s="294">
        <v>175.55</v>
      </c>
    </row>
    <row r="46" ht="14.25" customHeight="1">
      <c r="A46" s="291">
        <v>42125.0</v>
      </c>
      <c r="B46" s="294">
        <v>0.0</v>
      </c>
    </row>
    <row r="47" ht="14.25" customHeight="1">
      <c r="A47" s="291">
        <v>42095.0</v>
      </c>
      <c r="B47" s="294">
        <v>10.14</v>
      </c>
    </row>
    <row r="48" ht="14.25" customHeight="1">
      <c r="A48" s="291">
        <v>42064.0</v>
      </c>
      <c r="B48" s="294">
        <v>10.35</v>
      </c>
    </row>
    <row r="49" ht="14.25" customHeight="1">
      <c r="A49" s="291">
        <v>42036.0</v>
      </c>
      <c r="B49" s="294">
        <v>751.92</v>
      </c>
    </row>
    <row r="50" ht="14.25" customHeight="1">
      <c r="A50" s="291">
        <v>42005.0</v>
      </c>
      <c r="B50" s="294">
        <v>104.37</v>
      </c>
    </row>
    <row r="51" ht="14.25" customHeight="1">
      <c r="A51" s="291">
        <v>41974.0</v>
      </c>
      <c r="B51" s="294">
        <v>206.93</v>
      </c>
    </row>
    <row r="52" ht="14.25" customHeight="1">
      <c r="A52" s="291">
        <v>41944.0</v>
      </c>
      <c r="B52" s="294">
        <v>54.97</v>
      </c>
    </row>
    <row r="53" ht="14.25" customHeight="1">
      <c r="A53" s="291">
        <v>41913.0</v>
      </c>
      <c r="B53" s="294">
        <v>294.43</v>
      </c>
    </row>
    <row r="54" ht="14.25" customHeight="1">
      <c r="A54" s="291">
        <v>41883.0</v>
      </c>
      <c r="B54" s="294">
        <v>139.02</v>
      </c>
    </row>
    <row r="55" ht="14.25" customHeight="1">
      <c r="A55" s="291">
        <v>41852.0</v>
      </c>
      <c r="B55" s="294">
        <v>355.78</v>
      </c>
    </row>
    <row r="56" ht="14.25" customHeight="1">
      <c r="A56" s="291">
        <v>41821.0</v>
      </c>
      <c r="B56" s="294">
        <v>790.07</v>
      </c>
    </row>
    <row r="57" ht="14.25" customHeight="1">
      <c r="A57" s="291">
        <v>41791.0</v>
      </c>
      <c r="B57" s="294">
        <v>0.0</v>
      </c>
    </row>
    <row r="58" ht="14.25" customHeight="1">
      <c r="A58" s="291">
        <v>41760.0</v>
      </c>
      <c r="B58" s="294">
        <v>91.39</v>
      </c>
    </row>
    <row r="59" ht="14.25" customHeight="1">
      <c r="A59" s="291">
        <v>41730.0</v>
      </c>
      <c r="B59" s="294">
        <v>92.22</v>
      </c>
    </row>
    <row r="60" ht="14.25" customHeight="1">
      <c r="A60" s="291">
        <v>41699.0</v>
      </c>
      <c r="B60" s="294">
        <v>1004.53</v>
      </c>
    </row>
    <row r="61" ht="14.25" customHeight="1">
      <c r="A61" s="291">
        <v>41671.0</v>
      </c>
      <c r="B61" s="294">
        <v>319.47</v>
      </c>
    </row>
    <row r="62" ht="14.25" customHeight="1">
      <c r="A62" s="291">
        <v>41640.0</v>
      </c>
      <c r="B62" s="295">
        <v>391.4</v>
      </c>
    </row>
    <row r="63" ht="14.25" customHeight="1">
      <c r="A63" s="291">
        <v>41609.0</v>
      </c>
      <c r="B63" s="295">
        <v>779.28</v>
      </c>
    </row>
    <row r="64" ht="14.25" customHeight="1">
      <c r="A64" s="291">
        <v>41579.0</v>
      </c>
      <c r="B64" s="295">
        <v>1480.97</v>
      </c>
    </row>
    <row r="65" ht="14.25" customHeight="1">
      <c r="A65" s="291">
        <v>41548.0</v>
      </c>
      <c r="B65" s="295">
        <v>1153.18</v>
      </c>
    </row>
    <row r="66" ht="14.25" customHeight="1">
      <c r="A66" s="291">
        <v>41518.0</v>
      </c>
      <c r="B66" s="295">
        <v>763.3</v>
      </c>
    </row>
    <row r="67" ht="14.25" customHeight="1">
      <c r="A67" s="291">
        <v>41487.0</v>
      </c>
      <c r="B67" s="295">
        <v>196.0</v>
      </c>
    </row>
    <row r="68" ht="14.25" customHeight="1">
      <c r="A68" s="291">
        <v>41456.0</v>
      </c>
      <c r="B68" s="295">
        <v>11.08</v>
      </c>
    </row>
    <row r="69" ht="14.25" customHeight="1">
      <c r="A69" s="291">
        <v>41426.0</v>
      </c>
      <c r="B69" s="295">
        <v>4.0</v>
      </c>
    </row>
    <row r="70" ht="14.25" customHeight="1">
      <c r="A70" s="291">
        <v>41395.0</v>
      </c>
      <c r="B70" s="296">
        <v>656.55</v>
      </c>
    </row>
    <row r="71" ht="14.25" customHeight="1">
      <c r="A71" s="291">
        <v>41365.0</v>
      </c>
      <c r="B71" s="295">
        <v>3.82</v>
      </c>
    </row>
    <row r="72" ht="14.25" customHeight="1">
      <c r="A72" s="291">
        <v>41334.0</v>
      </c>
      <c r="B72" s="295">
        <v>368.45</v>
      </c>
    </row>
    <row r="73" ht="14.25" customHeight="1">
      <c r="A73" s="291">
        <v>41306.0</v>
      </c>
      <c r="B73" s="295">
        <v>39.94</v>
      </c>
    </row>
    <row r="74" ht="14.25" customHeight="1">
      <c r="A74" s="291">
        <v>41275.0</v>
      </c>
      <c r="B74" s="295">
        <v>218.99</v>
      </c>
    </row>
    <row r="75" ht="14.25" customHeight="1">
      <c r="A75" s="291">
        <v>41244.0</v>
      </c>
      <c r="B75" s="295">
        <v>253.57</v>
      </c>
    </row>
    <row r="76" ht="14.25" customHeight="1">
      <c r="A76" s="291">
        <v>41214.0</v>
      </c>
      <c r="B76" s="295">
        <v>107.54</v>
      </c>
    </row>
    <row r="77" ht="14.25" customHeight="1">
      <c r="A77" s="291">
        <v>41183.0</v>
      </c>
      <c r="B77" s="296">
        <v>251.19</v>
      </c>
    </row>
    <row r="78" ht="14.25" customHeight="1">
      <c r="A78" s="291">
        <v>41153.0</v>
      </c>
      <c r="B78" s="295">
        <v>4682.23</v>
      </c>
    </row>
    <row r="79" ht="14.25" customHeight="1">
      <c r="A79" s="291">
        <v>41122.0</v>
      </c>
      <c r="B79" s="295">
        <v>1634.47</v>
      </c>
    </row>
    <row r="80" ht="14.25" customHeight="1">
      <c r="A80" s="291">
        <v>41091.0</v>
      </c>
      <c r="B80" s="295">
        <v>821.51</v>
      </c>
    </row>
    <row r="81" ht="14.25" customHeight="1">
      <c r="A81" s="291">
        <v>41061.0</v>
      </c>
      <c r="B81" s="295">
        <v>820.3</v>
      </c>
    </row>
    <row r="82" ht="14.25" customHeight="1">
      <c r="A82" s="291">
        <v>41030.0</v>
      </c>
      <c r="B82" s="295">
        <v>828.56</v>
      </c>
    </row>
    <row r="83" ht="14.25" customHeight="1">
      <c r="A83" s="291">
        <v>41000.0</v>
      </c>
      <c r="B83" s="295">
        <v>1189.53</v>
      </c>
    </row>
    <row r="84" ht="14.25" customHeight="1">
      <c r="A84" s="291">
        <v>40969.0</v>
      </c>
      <c r="B84" s="295">
        <v>1202.78</v>
      </c>
    </row>
    <row r="85" ht="14.25" customHeight="1">
      <c r="A85" s="291">
        <v>40940.0</v>
      </c>
      <c r="B85" s="295">
        <v>394.05</v>
      </c>
    </row>
    <row r="86" ht="14.25" customHeight="1">
      <c r="A86" s="291">
        <v>40909.0</v>
      </c>
      <c r="B86" s="295">
        <v>711.03</v>
      </c>
    </row>
    <row r="87" ht="14.25" customHeight="1">
      <c r="A87" s="291">
        <v>40878.0</v>
      </c>
      <c r="B87" s="295">
        <v>689.47</v>
      </c>
    </row>
    <row r="88" ht="14.25" customHeight="1">
      <c r="A88" s="291">
        <v>40848.0</v>
      </c>
      <c r="B88" s="295">
        <v>727.7</v>
      </c>
    </row>
    <row r="89" ht="14.25" customHeight="1">
      <c r="A89" s="291">
        <v>40817.0</v>
      </c>
      <c r="B89" s="295">
        <v>702.17</v>
      </c>
    </row>
    <row r="90" ht="14.25" customHeight="1">
      <c r="A90" s="291">
        <v>40787.0</v>
      </c>
      <c r="B90" s="295">
        <v>1013.39</v>
      </c>
    </row>
    <row r="91" ht="14.25" customHeight="1">
      <c r="A91" s="291">
        <v>40756.0</v>
      </c>
      <c r="B91" s="295">
        <v>661.63</v>
      </c>
    </row>
    <row r="92" ht="14.25" customHeight="1">
      <c r="A92" s="291">
        <v>40725.0</v>
      </c>
      <c r="B92" s="295">
        <v>287.66</v>
      </c>
    </row>
    <row r="93" ht="14.25" customHeight="1">
      <c r="A93" s="291">
        <v>40695.0</v>
      </c>
      <c r="B93" s="295">
        <v>579.82</v>
      </c>
    </row>
    <row r="94" ht="14.25" customHeight="1">
      <c r="A94" s="291">
        <v>40664.0</v>
      </c>
      <c r="B94" s="295">
        <v>754.81</v>
      </c>
    </row>
    <row r="95" ht="14.25" customHeight="1">
      <c r="A95" s="291">
        <v>40634.0</v>
      </c>
      <c r="B95" s="295">
        <v>414.14</v>
      </c>
    </row>
    <row r="96" ht="14.25" customHeight="1">
      <c r="A96" s="297" t="s">
        <v>925</v>
      </c>
      <c r="B96" s="298">
        <f>AVERAGE(B$2:B95)</f>
        <v>437.5454255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5.57"/>
    <col customWidth="1" min="3" max="3" width="12.57"/>
    <col customWidth="1" min="4" max="4" width="8.57"/>
    <col customWidth="1" min="5" max="5" width="13.71"/>
  </cols>
  <sheetData>
    <row r="1" ht="14.25" customHeight="1">
      <c r="A1" s="290" t="s">
        <v>27</v>
      </c>
      <c r="B1" s="290" t="s">
        <v>11</v>
      </c>
      <c r="C1" s="299" t="s">
        <v>50</v>
      </c>
      <c r="D1" s="290" t="s">
        <v>938</v>
      </c>
      <c r="E1" s="290" t="s">
        <v>939</v>
      </c>
    </row>
    <row r="2">
      <c r="A2" s="300">
        <v>43467.0</v>
      </c>
      <c r="B2" s="301" t="s">
        <v>940</v>
      </c>
      <c r="C2" s="302">
        <v>510.88</v>
      </c>
      <c r="D2" s="302" t="s">
        <v>941</v>
      </c>
      <c r="E2" s="199" t="str">
        <f t="shared" ref="E2:E3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0">
        <v>43454.0</v>
      </c>
      <c r="B3" s="301" t="s">
        <v>954</v>
      </c>
      <c r="C3" s="302">
        <v>-155.0</v>
      </c>
      <c r="D3" s="302" t="s">
        <v>941</v>
      </c>
      <c r="E3" s="199" t="str">
        <f t="shared" si="1"/>
        <v/>
      </c>
    </row>
    <row r="4">
      <c r="A4" s="300">
        <v>43453.0</v>
      </c>
      <c r="B4" s="301" t="s">
        <v>940</v>
      </c>
      <c r="C4" s="302">
        <v>152.45</v>
      </c>
      <c r="D4" s="302" t="s">
        <v>941</v>
      </c>
      <c r="E4" s="199"/>
    </row>
    <row r="5">
      <c r="A5" s="300">
        <v>43445.0</v>
      </c>
      <c r="B5" s="301" t="s">
        <v>955</v>
      </c>
      <c r="C5" s="302">
        <v>55.0</v>
      </c>
      <c r="D5" s="302" t="s">
        <v>941</v>
      </c>
      <c r="E5" s="199"/>
    </row>
    <row r="6">
      <c r="A6" s="300">
        <v>43444.0</v>
      </c>
      <c r="B6" s="301" t="s">
        <v>956</v>
      </c>
      <c r="C6" s="302">
        <v>-55.0</v>
      </c>
      <c r="D6" s="302" t="s">
        <v>941</v>
      </c>
      <c r="E6" s="199"/>
    </row>
    <row r="7">
      <c r="A7" s="300">
        <v>43444.0</v>
      </c>
      <c r="B7" s="301" t="s">
        <v>957</v>
      </c>
      <c r="C7" s="302">
        <v>-1000.0</v>
      </c>
      <c r="D7" s="302" t="s">
        <v>941</v>
      </c>
      <c r="E7" s="199"/>
    </row>
    <row r="8">
      <c r="A8" s="300">
        <v>43444.0</v>
      </c>
      <c r="B8" s="301" t="s">
        <v>958</v>
      </c>
      <c r="C8" s="302">
        <v>-340.6</v>
      </c>
      <c r="D8" s="302" t="s">
        <v>941</v>
      </c>
      <c r="E8" s="199"/>
    </row>
    <row r="9">
      <c r="A9" s="300">
        <v>43440.0</v>
      </c>
      <c r="B9" s="301" t="s">
        <v>959</v>
      </c>
      <c r="C9" s="302">
        <v>-41.85</v>
      </c>
      <c r="D9" s="302" t="s">
        <v>941</v>
      </c>
      <c r="E9" s="199" t="s">
        <v>737</v>
      </c>
    </row>
    <row r="10">
      <c r="A10" s="300">
        <v>43440.0</v>
      </c>
      <c r="B10" s="301" t="s">
        <v>959</v>
      </c>
      <c r="C10" s="302">
        <v>-101.8</v>
      </c>
      <c r="D10" s="302" t="s">
        <v>941</v>
      </c>
      <c r="E10" s="199" t="s">
        <v>737</v>
      </c>
    </row>
    <row r="11">
      <c r="A11" s="300">
        <v>43440.0</v>
      </c>
      <c r="B11" s="301" t="s">
        <v>960</v>
      </c>
      <c r="C11" s="302">
        <v>100.0</v>
      </c>
      <c r="D11" s="302" t="s">
        <v>941</v>
      </c>
      <c r="E11" s="199"/>
    </row>
    <row r="12">
      <c r="A12" s="300">
        <v>43440.0</v>
      </c>
      <c r="B12" s="301" t="s">
        <v>961</v>
      </c>
      <c r="C12" s="302">
        <v>140.0</v>
      </c>
      <c r="D12" s="302" t="s">
        <v>941</v>
      </c>
      <c r="E12" s="199"/>
    </row>
    <row r="13">
      <c r="A13" s="300">
        <v>43439.0</v>
      </c>
      <c r="B13" s="301" t="s">
        <v>962</v>
      </c>
      <c r="C13" s="302">
        <v>-903.45</v>
      </c>
      <c r="D13" s="302" t="s">
        <v>941</v>
      </c>
      <c r="E13" s="199"/>
    </row>
    <row r="14">
      <c r="A14" s="300">
        <v>43439.0</v>
      </c>
      <c r="B14" s="301" t="s">
        <v>963</v>
      </c>
      <c r="C14" s="302">
        <v>207.0</v>
      </c>
      <c r="D14" s="302" t="s">
        <v>941</v>
      </c>
      <c r="E14" s="199"/>
    </row>
    <row r="15">
      <c r="A15" s="300">
        <v>43437.0</v>
      </c>
      <c r="B15" s="301" t="s">
        <v>964</v>
      </c>
      <c r="C15" s="302">
        <v>-76.0</v>
      </c>
      <c r="D15" s="302" t="s">
        <v>941</v>
      </c>
      <c r="E15" s="199" t="s">
        <v>737</v>
      </c>
    </row>
    <row r="16">
      <c r="A16" s="300">
        <v>43437.0</v>
      </c>
      <c r="B16" s="301" t="s">
        <v>965</v>
      </c>
      <c r="C16" s="302">
        <v>-23.6</v>
      </c>
      <c r="D16" s="302" t="s">
        <v>941</v>
      </c>
      <c r="E16" s="199" t="s">
        <v>737</v>
      </c>
    </row>
    <row r="17">
      <c r="A17" s="300">
        <v>43437.0</v>
      </c>
      <c r="B17" s="301" t="s">
        <v>965</v>
      </c>
      <c r="C17" s="302">
        <v>-82.0</v>
      </c>
      <c r="D17" s="302" t="s">
        <v>941</v>
      </c>
      <c r="E17" s="199" t="s">
        <v>737</v>
      </c>
    </row>
    <row r="18">
      <c r="A18" s="300">
        <v>43438.0</v>
      </c>
      <c r="B18" s="301" t="s">
        <v>940</v>
      </c>
      <c r="C18" s="302">
        <v>494.4</v>
      </c>
      <c r="D18" s="302" t="s">
        <v>941</v>
      </c>
      <c r="E18" s="199"/>
    </row>
    <row r="19">
      <c r="A19" s="300">
        <v>43437.0</v>
      </c>
      <c r="B19" s="301" t="s">
        <v>966</v>
      </c>
      <c r="C19" s="302">
        <v>185.0</v>
      </c>
      <c r="D19" s="302" t="s">
        <v>941</v>
      </c>
      <c r="E19" s="199"/>
    </row>
    <row r="20">
      <c r="A20" s="300">
        <v>43430.0</v>
      </c>
      <c r="B20" s="301" t="s">
        <v>970</v>
      </c>
      <c r="C20" s="302">
        <v>-34.0</v>
      </c>
      <c r="D20" s="302" t="s">
        <v>941</v>
      </c>
      <c r="E20" s="199"/>
    </row>
    <row r="21">
      <c r="A21" s="300">
        <v>43430.0</v>
      </c>
      <c r="B21" s="301" t="s">
        <v>976</v>
      </c>
      <c r="C21" s="302">
        <v>33.12</v>
      </c>
      <c r="D21" s="302" t="s">
        <v>941</v>
      </c>
      <c r="E21" s="199"/>
    </row>
    <row r="22">
      <c r="A22" s="300">
        <v>43417.0</v>
      </c>
      <c r="B22" s="301" t="s">
        <v>979</v>
      </c>
      <c r="C22" s="302">
        <v>-7.45</v>
      </c>
      <c r="D22" s="302" t="s">
        <v>941</v>
      </c>
      <c r="E22" s="199" t="s">
        <v>737</v>
      </c>
    </row>
    <row r="23">
      <c r="A23" s="300">
        <v>43416.0</v>
      </c>
      <c r="B23" s="301" t="s">
        <v>981</v>
      </c>
      <c r="C23" s="302">
        <v>-16.1</v>
      </c>
      <c r="D23" s="302" t="s">
        <v>941</v>
      </c>
      <c r="E23" s="199" t="s">
        <v>737</v>
      </c>
    </row>
    <row r="24">
      <c r="A24" s="300">
        <v>43416.0</v>
      </c>
      <c r="B24" s="301" t="s">
        <v>983</v>
      </c>
      <c r="C24" s="302">
        <v>-77.0</v>
      </c>
      <c r="D24" s="302" t="s">
        <v>941</v>
      </c>
      <c r="E24" s="199" t="s">
        <v>737</v>
      </c>
    </row>
    <row r="25">
      <c r="A25" s="300">
        <v>43416.0</v>
      </c>
      <c r="B25" s="301" t="s">
        <v>986</v>
      </c>
      <c r="C25" s="302">
        <v>-33.0</v>
      </c>
      <c r="D25" s="302" t="s">
        <v>941</v>
      </c>
      <c r="E25" s="199" t="s">
        <v>737</v>
      </c>
    </row>
    <row r="26">
      <c r="A26" s="300">
        <v>43416.0</v>
      </c>
      <c r="B26" s="301" t="s">
        <v>958</v>
      </c>
      <c r="C26" s="302">
        <v>-340.6</v>
      </c>
      <c r="D26" s="302" t="s">
        <v>941</v>
      </c>
      <c r="E26" s="199"/>
    </row>
    <row r="27">
      <c r="A27" s="300">
        <v>43411.0</v>
      </c>
      <c r="B27" s="301" t="s">
        <v>987</v>
      </c>
      <c r="C27" s="302">
        <v>-45.0</v>
      </c>
      <c r="D27" s="302" t="s">
        <v>941</v>
      </c>
      <c r="E27" s="199"/>
    </row>
    <row r="28">
      <c r="A28" s="300">
        <v>43410.0</v>
      </c>
      <c r="B28" s="301" t="s">
        <v>960</v>
      </c>
      <c r="C28" s="302">
        <v>100.0</v>
      </c>
      <c r="D28" s="302" t="s">
        <v>941</v>
      </c>
      <c r="E28" s="199"/>
    </row>
    <row r="29">
      <c r="A29" s="300">
        <v>43410.0</v>
      </c>
      <c r="B29" s="301" t="s">
        <v>988</v>
      </c>
      <c r="C29" s="302">
        <v>45.0</v>
      </c>
      <c r="D29" s="302" t="s">
        <v>941</v>
      </c>
      <c r="E29" s="199"/>
    </row>
    <row r="30">
      <c r="A30" s="300">
        <v>43409.0</v>
      </c>
      <c r="B30" s="301" t="s">
        <v>962</v>
      </c>
      <c r="C30" s="302">
        <v>-903.45</v>
      </c>
      <c r="D30" s="302" t="s">
        <v>941</v>
      </c>
      <c r="E30" s="199"/>
    </row>
    <row r="31">
      <c r="A31" s="300">
        <v>43398.0</v>
      </c>
      <c r="B31" s="301" t="s">
        <v>989</v>
      </c>
      <c r="C31" s="302">
        <v>-0.66</v>
      </c>
      <c r="D31" s="302" t="s">
        <v>941</v>
      </c>
      <c r="E31" s="199" t="s">
        <v>737</v>
      </c>
    </row>
    <row r="32">
      <c r="A32" s="300">
        <v>43398.0</v>
      </c>
      <c r="B32" s="301" t="s">
        <v>990</v>
      </c>
      <c r="C32" s="302">
        <v>-922.0</v>
      </c>
      <c r="D32" s="302" t="s">
        <v>941</v>
      </c>
      <c r="E32" s="199"/>
    </row>
    <row r="33">
      <c r="A33" s="300">
        <v>43397.0</v>
      </c>
      <c r="B33" s="301" t="s">
        <v>991</v>
      </c>
      <c r="C33" s="302">
        <v>-6060.0</v>
      </c>
      <c r="D33" s="302" t="s">
        <v>941</v>
      </c>
      <c r="E33" s="199"/>
    </row>
    <row r="34">
      <c r="A34" s="300">
        <v>43397.0</v>
      </c>
      <c r="B34" s="301" t="s">
        <v>992</v>
      </c>
      <c r="C34" s="302">
        <v>6.5</v>
      </c>
      <c r="D34" s="302" t="s">
        <v>941</v>
      </c>
      <c r="E34" s="199"/>
    </row>
    <row r="35">
      <c r="A35" s="300">
        <v>43396.0</v>
      </c>
      <c r="B35" s="301" t="s">
        <v>993</v>
      </c>
      <c r="C35" s="302">
        <v>-0.8</v>
      </c>
      <c r="D35" s="302" t="s">
        <v>941</v>
      </c>
      <c r="E35" s="199" t="s">
        <v>737</v>
      </c>
    </row>
    <row r="36">
      <c r="A36" s="300">
        <v>43395.0</v>
      </c>
      <c r="B36" s="301" t="s">
        <v>955</v>
      </c>
      <c r="C36" s="302">
        <v>9.2</v>
      </c>
      <c r="D36" s="302" t="s">
        <v>941</v>
      </c>
      <c r="E36" s="199"/>
    </row>
    <row r="37">
      <c r="A37" s="300">
        <v>43395.0</v>
      </c>
      <c r="B37" s="301" t="s">
        <v>994</v>
      </c>
      <c r="C37" s="302">
        <v>7000.0</v>
      </c>
      <c r="D37" s="302" t="s">
        <v>941</v>
      </c>
      <c r="E37" s="199"/>
    </row>
    <row r="38">
      <c r="A38" s="300">
        <v>43383.0</v>
      </c>
      <c r="B38" s="301" t="s">
        <v>995</v>
      </c>
      <c r="C38" s="302">
        <v>-134.17</v>
      </c>
      <c r="D38" s="302" t="s">
        <v>941</v>
      </c>
      <c r="E38" s="199" t="s">
        <v>737</v>
      </c>
    </row>
    <row r="39">
      <c r="A39" s="300">
        <v>43383.0</v>
      </c>
      <c r="B39" s="301" t="s">
        <v>958</v>
      </c>
      <c r="C39" s="302">
        <v>-340.6</v>
      </c>
      <c r="D39" s="302" t="s">
        <v>941</v>
      </c>
      <c r="E39" s="199"/>
    </row>
    <row r="40">
      <c r="A40" s="300">
        <v>43381.0</v>
      </c>
      <c r="B40" s="301" t="s">
        <v>960</v>
      </c>
      <c r="C40" s="302">
        <v>100.0</v>
      </c>
      <c r="D40" s="302" t="s">
        <v>941</v>
      </c>
      <c r="E40" s="199"/>
    </row>
    <row r="41">
      <c r="A41" s="300">
        <v>43378.0</v>
      </c>
      <c r="B41" s="301" t="s">
        <v>996</v>
      </c>
      <c r="C41" s="302">
        <v>-0.72</v>
      </c>
      <c r="D41" s="302" t="s">
        <v>941</v>
      </c>
      <c r="E41" s="199" t="s">
        <v>737</v>
      </c>
    </row>
    <row r="42">
      <c r="A42" s="300">
        <v>43378.0</v>
      </c>
      <c r="B42" s="301" t="s">
        <v>997</v>
      </c>
      <c r="C42" s="302">
        <v>-890.0</v>
      </c>
      <c r="D42" s="302" t="s">
        <v>941</v>
      </c>
      <c r="E42" s="199"/>
    </row>
    <row r="43">
      <c r="A43" s="300">
        <v>43378.0</v>
      </c>
      <c r="B43" s="301" t="s">
        <v>998</v>
      </c>
      <c r="C43" s="302">
        <v>800.0</v>
      </c>
      <c r="D43" s="302" t="s">
        <v>941</v>
      </c>
      <c r="E43" s="199"/>
    </row>
    <row r="44">
      <c r="A44" s="300">
        <v>43377.0</v>
      </c>
      <c r="B44" s="301" t="s">
        <v>999</v>
      </c>
      <c r="C44" s="302">
        <v>-1.0</v>
      </c>
      <c r="D44" s="302" t="s">
        <v>941</v>
      </c>
      <c r="E44" s="199"/>
    </row>
    <row r="45">
      <c r="A45" s="300">
        <v>43377.0</v>
      </c>
      <c r="B45" s="301" t="s">
        <v>1000</v>
      </c>
      <c r="C45" s="302">
        <v>-5.0</v>
      </c>
      <c r="D45" s="302" t="s">
        <v>941</v>
      </c>
      <c r="E45" s="199" t="s">
        <v>737</v>
      </c>
    </row>
    <row r="46">
      <c r="A46" s="300">
        <v>43377.0</v>
      </c>
      <c r="B46" s="301" t="s">
        <v>999</v>
      </c>
      <c r="C46" s="302">
        <v>1.0</v>
      </c>
      <c r="D46" s="302" t="s">
        <v>941</v>
      </c>
      <c r="E46" s="199"/>
    </row>
    <row r="47">
      <c r="A47" s="300">
        <v>43375.0</v>
      </c>
      <c r="B47" s="301" t="s">
        <v>940</v>
      </c>
      <c r="C47" s="302">
        <v>494.4</v>
      </c>
      <c r="D47" s="302" t="s">
        <v>941</v>
      </c>
      <c r="E47" s="199"/>
    </row>
    <row r="48">
      <c r="A48" s="300">
        <v>43356.0</v>
      </c>
      <c r="B48" s="301" t="s">
        <v>991</v>
      </c>
      <c r="C48" s="302">
        <v>-440.0</v>
      </c>
      <c r="D48" s="302" t="s">
        <v>941</v>
      </c>
      <c r="E48" s="199"/>
    </row>
    <row r="49">
      <c r="A49" s="300">
        <v>43355.0</v>
      </c>
      <c r="B49" s="301" t="s">
        <v>1006</v>
      </c>
      <c r="C49" s="302">
        <v>500.0</v>
      </c>
      <c r="D49" s="302" t="s">
        <v>941</v>
      </c>
      <c r="E49" s="199"/>
    </row>
    <row r="50">
      <c r="A50" s="300">
        <v>43354.0</v>
      </c>
      <c r="B50" s="301" t="s">
        <v>1010</v>
      </c>
      <c r="C50" s="302">
        <v>350.0</v>
      </c>
      <c r="D50" s="302" t="s">
        <v>941</v>
      </c>
      <c r="E50" s="199"/>
    </row>
    <row r="51">
      <c r="A51" s="300">
        <v>43354.0</v>
      </c>
      <c r="B51" s="301" t="s">
        <v>955</v>
      </c>
      <c r="C51" s="302">
        <v>-350.0</v>
      </c>
      <c r="D51" s="302" t="s">
        <v>941</v>
      </c>
      <c r="E51" s="199"/>
    </row>
    <row r="52">
      <c r="A52" s="300">
        <v>43353.0</v>
      </c>
      <c r="B52" s="301" t="s">
        <v>958</v>
      </c>
      <c r="C52" s="302">
        <v>-340.6</v>
      </c>
      <c r="D52" s="302" t="s">
        <v>941</v>
      </c>
      <c r="E52" s="199"/>
    </row>
    <row r="53">
      <c r="A53" s="300">
        <v>43351.0</v>
      </c>
      <c r="B53" s="301" t="s">
        <v>1017</v>
      </c>
      <c r="C53" s="302">
        <v>2.01</v>
      </c>
      <c r="D53" s="302" t="s">
        <v>941</v>
      </c>
      <c r="E53" s="199"/>
    </row>
    <row r="54">
      <c r="A54" s="300">
        <v>43351.0</v>
      </c>
      <c r="B54" s="301" t="s">
        <v>1017</v>
      </c>
      <c r="C54" s="302">
        <v>3.05</v>
      </c>
      <c r="D54" s="302" t="s">
        <v>941</v>
      </c>
      <c r="E54" s="199"/>
    </row>
    <row r="55">
      <c r="A55" s="300">
        <v>43349.0</v>
      </c>
      <c r="B55" s="301" t="s">
        <v>960</v>
      </c>
      <c r="C55" s="302">
        <v>100.0</v>
      </c>
      <c r="D55" s="302" t="s">
        <v>941</v>
      </c>
      <c r="E55" s="199"/>
    </row>
    <row r="56">
      <c r="A56" s="300">
        <v>43348.0</v>
      </c>
      <c r="B56" s="301" t="s">
        <v>997</v>
      </c>
      <c r="C56" s="302">
        <v>-890.0</v>
      </c>
      <c r="D56" s="302" t="s">
        <v>941</v>
      </c>
      <c r="E56" s="199"/>
    </row>
    <row r="57">
      <c r="A57" s="300">
        <v>43348.0</v>
      </c>
      <c r="B57" s="301" t="s">
        <v>963</v>
      </c>
      <c r="C57" s="302">
        <v>207.0</v>
      </c>
      <c r="D57" s="302" t="s">
        <v>941</v>
      </c>
      <c r="E57" s="199"/>
    </row>
    <row r="58">
      <c r="A58" s="300">
        <v>43347.0</v>
      </c>
      <c r="B58" s="301" t="s">
        <v>1017</v>
      </c>
      <c r="C58" s="302">
        <v>-2.02</v>
      </c>
      <c r="D58" s="302" t="s">
        <v>941</v>
      </c>
      <c r="E58" s="199" t="s">
        <v>737</v>
      </c>
    </row>
    <row r="59">
      <c r="A59" s="300">
        <v>43347.0</v>
      </c>
      <c r="B59" s="301" t="s">
        <v>1017</v>
      </c>
      <c r="C59" s="302">
        <v>-3.07</v>
      </c>
      <c r="D59" s="302" t="s">
        <v>941</v>
      </c>
      <c r="E59" s="199" t="s">
        <v>737</v>
      </c>
    </row>
    <row r="60">
      <c r="A60" s="300">
        <v>43347.0</v>
      </c>
      <c r="B60" s="301" t="s">
        <v>1018</v>
      </c>
      <c r="C60" s="302">
        <v>0.91</v>
      </c>
      <c r="D60" s="302" t="s">
        <v>941</v>
      </c>
      <c r="E60" s="199"/>
    </row>
    <row r="61">
      <c r="A61" s="300">
        <v>43347.0</v>
      </c>
      <c r="B61" s="301" t="s">
        <v>1017</v>
      </c>
      <c r="C61" s="302">
        <v>2.03</v>
      </c>
      <c r="D61" s="302" t="s">
        <v>941</v>
      </c>
      <c r="E61" s="199"/>
    </row>
    <row r="62">
      <c r="A62" s="300">
        <v>43347.0</v>
      </c>
      <c r="B62" s="301" t="s">
        <v>1019</v>
      </c>
      <c r="C62" s="302">
        <v>8.1</v>
      </c>
      <c r="D62" s="302" t="s">
        <v>941</v>
      </c>
      <c r="E62" s="199"/>
    </row>
    <row r="63">
      <c r="A63" s="300">
        <v>43346.0</v>
      </c>
      <c r="B63" s="301" t="s">
        <v>940</v>
      </c>
      <c r="C63" s="302">
        <v>510.88</v>
      </c>
      <c r="D63" s="302" t="s">
        <v>941</v>
      </c>
      <c r="E63" s="199"/>
    </row>
    <row r="64">
      <c r="A64" s="300">
        <v>43346.0</v>
      </c>
      <c r="B64" s="301" t="s">
        <v>1020</v>
      </c>
      <c r="C64" s="302">
        <v>-26.34</v>
      </c>
      <c r="D64" s="302" t="s">
        <v>941</v>
      </c>
      <c r="E64" s="199" t="s">
        <v>737</v>
      </c>
    </row>
    <row r="65">
      <c r="A65" s="300">
        <v>43346.0</v>
      </c>
      <c r="B65" s="301" t="s">
        <v>1021</v>
      </c>
      <c r="C65" s="302">
        <v>-1.67</v>
      </c>
      <c r="D65" s="302" t="s">
        <v>941</v>
      </c>
      <c r="E65" s="199" t="s">
        <v>737</v>
      </c>
    </row>
    <row r="66">
      <c r="A66" s="300">
        <v>43346.0</v>
      </c>
      <c r="B66" s="301" t="s">
        <v>1022</v>
      </c>
      <c r="C66" s="302">
        <v>-38.25</v>
      </c>
      <c r="D66" s="302" t="s">
        <v>941</v>
      </c>
      <c r="E66" s="199" t="s">
        <v>737</v>
      </c>
    </row>
    <row r="67">
      <c r="A67" s="300">
        <v>43346.0</v>
      </c>
      <c r="B67" s="301" t="s">
        <v>1023</v>
      </c>
      <c r="C67" s="302">
        <v>30.53</v>
      </c>
      <c r="D67" s="302" t="s">
        <v>941</v>
      </c>
      <c r="E67" s="199"/>
    </row>
    <row r="68">
      <c r="A68" s="300">
        <v>43346.0</v>
      </c>
      <c r="B68" s="301" t="s">
        <v>1024</v>
      </c>
      <c r="C68" s="302">
        <v>13.53</v>
      </c>
      <c r="D68" s="302" t="s">
        <v>941</v>
      </c>
      <c r="E68" s="199"/>
    </row>
    <row r="69">
      <c r="A69" s="300">
        <v>43346.0</v>
      </c>
      <c r="B69" s="301" t="s">
        <v>1019</v>
      </c>
      <c r="C69" s="302">
        <v>1.01</v>
      </c>
      <c r="D69" s="302" t="s">
        <v>941</v>
      </c>
      <c r="E69" s="199"/>
    </row>
    <row r="70">
      <c r="A70" s="300">
        <v>43346.0</v>
      </c>
      <c r="B70" s="301" t="s">
        <v>1019</v>
      </c>
      <c r="C70" s="302">
        <v>5.32</v>
      </c>
      <c r="D70" s="302" t="s">
        <v>941</v>
      </c>
      <c r="E70" s="199"/>
    </row>
    <row r="71">
      <c r="A71" s="300">
        <v>43342.0</v>
      </c>
      <c r="B71" s="301" t="s">
        <v>1030</v>
      </c>
      <c r="C71" s="302">
        <v>25.15</v>
      </c>
      <c r="D71" s="302" t="s">
        <v>941</v>
      </c>
      <c r="E71" s="199"/>
    </row>
    <row r="72">
      <c r="A72" s="7">
        <v>43341.0</v>
      </c>
      <c r="B72" s="303" t="s">
        <v>1018</v>
      </c>
      <c r="C72" s="199">
        <v>1.02</v>
      </c>
      <c r="D72" s="199" t="s">
        <v>941</v>
      </c>
      <c r="E72" s="199"/>
    </row>
    <row r="73">
      <c r="A73" s="300">
        <v>43341.0</v>
      </c>
      <c r="B73" s="301" t="s">
        <v>1017</v>
      </c>
      <c r="C73" s="302">
        <v>9.03</v>
      </c>
      <c r="D73" s="302" t="s">
        <v>941</v>
      </c>
      <c r="E73" s="199"/>
    </row>
    <row r="74">
      <c r="A74" s="300">
        <v>43341.0</v>
      </c>
      <c r="B74" s="301" t="s">
        <v>1019</v>
      </c>
      <c r="C74" s="302">
        <v>7.53</v>
      </c>
      <c r="D74" s="302" t="s">
        <v>941</v>
      </c>
      <c r="E74" s="199"/>
    </row>
    <row r="75">
      <c r="A75" s="300">
        <v>43341.0</v>
      </c>
      <c r="B75" s="301" t="s">
        <v>1019</v>
      </c>
      <c r="C75" s="302">
        <v>8.56</v>
      </c>
      <c r="D75" s="302" t="s">
        <v>941</v>
      </c>
      <c r="E75" s="199"/>
    </row>
    <row r="76">
      <c r="A76" s="300">
        <v>43341.0</v>
      </c>
      <c r="B76" s="301" t="s">
        <v>1017</v>
      </c>
      <c r="C76" s="302">
        <v>-2.01</v>
      </c>
      <c r="D76" s="302" t="s">
        <v>941</v>
      </c>
      <c r="E76" s="199" t="s">
        <v>737</v>
      </c>
    </row>
    <row r="77">
      <c r="A77" s="300">
        <v>43341.0</v>
      </c>
      <c r="B77" s="301" t="s">
        <v>1017</v>
      </c>
      <c r="C77" s="302">
        <v>-3.05</v>
      </c>
      <c r="D77" s="302" t="s">
        <v>941</v>
      </c>
      <c r="E77" s="199" t="s">
        <v>737</v>
      </c>
    </row>
    <row r="78">
      <c r="A78" s="300">
        <v>43341.0</v>
      </c>
      <c r="B78" s="301" t="s">
        <v>1017</v>
      </c>
      <c r="C78" s="302">
        <v>-2.02</v>
      </c>
      <c r="D78" s="302" t="s">
        <v>941</v>
      </c>
      <c r="E78" s="199" t="s">
        <v>737</v>
      </c>
    </row>
    <row r="79">
      <c r="A79" s="300">
        <v>43341.0</v>
      </c>
      <c r="B79" s="301" t="s">
        <v>1019</v>
      </c>
      <c r="C79" s="302">
        <v>-8.07</v>
      </c>
      <c r="D79" s="302" t="s">
        <v>941</v>
      </c>
      <c r="E79" s="199" t="s">
        <v>737</v>
      </c>
    </row>
    <row r="80">
      <c r="A80" s="300">
        <v>43340.0</v>
      </c>
      <c r="B80" s="301" t="s">
        <v>1017</v>
      </c>
      <c r="C80" s="302">
        <v>1.02</v>
      </c>
      <c r="D80" s="302" t="s">
        <v>941</v>
      </c>
      <c r="E80" s="199"/>
    </row>
    <row r="81">
      <c r="A81" s="300">
        <v>43340.0</v>
      </c>
      <c r="B81" s="301" t="s">
        <v>1017</v>
      </c>
      <c r="C81" s="302">
        <v>4.41</v>
      </c>
      <c r="D81" s="302" t="s">
        <v>941</v>
      </c>
      <c r="E81" s="199"/>
    </row>
    <row r="82">
      <c r="A82" s="300">
        <v>43340.0</v>
      </c>
      <c r="B82" s="301" t="s">
        <v>1017</v>
      </c>
      <c r="C82" s="302">
        <v>4.62</v>
      </c>
      <c r="D82" s="302" t="s">
        <v>941</v>
      </c>
      <c r="E82" s="199"/>
    </row>
    <row r="83">
      <c r="A83" s="300">
        <v>43339.0</v>
      </c>
      <c r="B83" s="301" t="s">
        <v>1039</v>
      </c>
      <c r="C83" s="302">
        <v>-1.35</v>
      </c>
      <c r="D83" s="302" t="s">
        <v>941</v>
      </c>
      <c r="E83" s="199" t="s">
        <v>737</v>
      </c>
    </row>
    <row r="84">
      <c r="A84" s="300">
        <v>43339.0</v>
      </c>
      <c r="B84" s="301">
        <v>630380.0</v>
      </c>
      <c r="C84" s="302">
        <v>-79.57</v>
      </c>
      <c r="D84" s="302" t="s">
        <v>941</v>
      </c>
      <c r="E84" s="199" t="s">
        <v>737</v>
      </c>
    </row>
    <row r="85">
      <c r="A85" s="300">
        <v>43339.0</v>
      </c>
      <c r="B85" s="301" t="s">
        <v>1023</v>
      </c>
      <c r="C85" s="302">
        <v>-30.14</v>
      </c>
      <c r="D85" s="302" t="s">
        <v>941</v>
      </c>
      <c r="E85" s="199" t="s">
        <v>737</v>
      </c>
    </row>
    <row r="86">
      <c r="A86" s="300">
        <v>43339.0</v>
      </c>
      <c r="B86" s="301" t="s">
        <v>1018</v>
      </c>
      <c r="C86" s="302">
        <v>-0.91</v>
      </c>
      <c r="D86" s="302" t="s">
        <v>941</v>
      </c>
      <c r="E86" s="199" t="s">
        <v>737</v>
      </c>
    </row>
    <row r="87">
      <c r="A87" s="300">
        <v>43339.0</v>
      </c>
      <c r="B87" s="301" t="s">
        <v>1021</v>
      </c>
      <c r="C87" s="302">
        <v>-1.67</v>
      </c>
      <c r="D87" s="302" t="s">
        <v>941</v>
      </c>
      <c r="E87" s="199" t="s">
        <v>737</v>
      </c>
    </row>
    <row r="88">
      <c r="A88" s="300">
        <v>43339.0</v>
      </c>
      <c r="B88" s="301" t="s">
        <v>1019</v>
      </c>
      <c r="C88" s="302">
        <v>-1.0</v>
      </c>
      <c r="D88" s="302" t="s">
        <v>941</v>
      </c>
      <c r="E88" s="199" t="s">
        <v>737</v>
      </c>
    </row>
    <row r="89">
      <c r="A89" s="300">
        <v>43339.0</v>
      </c>
      <c r="B89" s="301" t="s">
        <v>1019</v>
      </c>
      <c r="C89" s="302">
        <v>-5.25</v>
      </c>
      <c r="D89" s="302" t="s">
        <v>941</v>
      </c>
      <c r="E89" s="199" t="s">
        <v>737</v>
      </c>
    </row>
    <row r="90">
      <c r="A90" s="300">
        <v>43339.0</v>
      </c>
      <c r="B90" s="301" t="s">
        <v>1040</v>
      </c>
      <c r="C90" s="302">
        <v>-13.47</v>
      </c>
      <c r="D90" s="302" t="s">
        <v>941</v>
      </c>
      <c r="E90" s="199" t="s">
        <v>737</v>
      </c>
    </row>
    <row r="91">
      <c r="A91" s="300">
        <v>43338.0</v>
      </c>
      <c r="B91" s="301" t="s">
        <v>1041</v>
      </c>
      <c r="C91" s="302">
        <v>-79.21</v>
      </c>
      <c r="D91" s="302" t="s">
        <v>941</v>
      </c>
      <c r="E91" s="199" t="s">
        <v>737</v>
      </c>
    </row>
    <row r="92">
      <c r="A92" s="300">
        <v>43337.0</v>
      </c>
      <c r="B92" s="301" t="s">
        <v>1018</v>
      </c>
      <c r="C92" s="302">
        <v>5.29</v>
      </c>
      <c r="D92" s="302" t="s">
        <v>941</v>
      </c>
      <c r="E92" s="199"/>
    </row>
    <row r="93">
      <c r="A93" s="300">
        <v>43337.0</v>
      </c>
      <c r="B93" s="301" t="s">
        <v>1017</v>
      </c>
      <c r="C93" s="302">
        <v>3.94</v>
      </c>
      <c r="D93" s="302" t="s">
        <v>941</v>
      </c>
      <c r="E93" s="199"/>
    </row>
    <row r="94">
      <c r="A94" s="300">
        <v>43337.0</v>
      </c>
      <c r="B94" s="301" t="s">
        <v>1017</v>
      </c>
      <c r="C94" s="302">
        <v>6.04</v>
      </c>
      <c r="D94" s="302" t="s">
        <v>941</v>
      </c>
      <c r="E94" s="199"/>
    </row>
    <row r="95">
      <c r="A95" s="300">
        <v>43335.0</v>
      </c>
      <c r="B95" s="301" t="s">
        <v>1030</v>
      </c>
      <c r="C95" s="302">
        <v>-25.11</v>
      </c>
      <c r="D95" s="302" t="s">
        <v>941</v>
      </c>
      <c r="E95" s="199" t="s">
        <v>737</v>
      </c>
    </row>
    <row r="96">
      <c r="A96" s="300">
        <v>43335.0</v>
      </c>
      <c r="B96" s="301" t="s">
        <v>1023</v>
      </c>
      <c r="C96" s="302">
        <v>-30.53</v>
      </c>
      <c r="D96" s="302" t="s">
        <v>941</v>
      </c>
      <c r="E96" s="199" t="s">
        <v>737</v>
      </c>
    </row>
    <row r="97">
      <c r="A97" s="300">
        <v>43335.0</v>
      </c>
      <c r="B97" s="301" t="s">
        <v>1019</v>
      </c>
      <c r="C97" s="302">
        <v>-7.52</v>
      </c>
      <c r="D97" s="302" t="s">
        <v>941</v>
      </c>
      <c r="E97" s="199" t="s">
        <v>737</v>
      </c>
    </row>
    <row r="98">
      <c r="A98" s="300">
        <v>43335.0</v>
      </c>
      <c r="B98" s="301" t="s">
        <v>1019</v>
      </c>
      <c r="C98" s="302">
        <v>-8.55</v>
      </c>
      <c r="D98" s="302" t="s">
        <v>941</v>
      </c>
      <c r="E98" s="199" t="s">
        <v>737</v>
      </c>
    </row>
    <row r="99">
      <c r="A99" s="300">
        <v>43335.0</v>
      </c>
      <c r="B99" s="301" t="s">
        <v>1018</v>
      </c>
      <c r="C99" s="302">
        <v>8.93</v>
      </c>
      <c r="D99" s="302" t="s">
        <v>941</v>
      </c>
      <c r="E99" s="199"/>
    </row>
    <row r="100">
      <c r="A100" s="300">
        <v>43334.0</v>
      </c>
      <c r="B100" s="301" t="s">
        <v>1017</v>
      </c>
      <c r="C100" s="302">
        <v>12.61</v>
      </c>
      <c r="D100" s="302" t="s">
        <v>941</v>
      </c>
      <c r="E100" s="199"/>
    </row>
    <row r="101">
      <c r="A101" s="300">
        <v>43334.0</v>
      </c>
      <c r="B101" s="301" t="s">
        <v>1017</v>
      </c>
      <c r="C101" s="302">
        <v>9.17</v>
      </c>
      <c r="D101" s="302" t="s">
        <v>941</v>
      </c>
      <c r="E101" s="199"/>
    </row>
    <row r="102">
      <c r="A102" s="300">
        <v>43334.0</v>
      </c>
      <c r="B102" s="301" t="s">
        <v>1018</v>
      </c>
      <c r="C102" s="302">
        <v>-1.02</v>
      </c>
      <c r="D102" s="302" t="s">
        <v>941</v>
      </c>
      <c r="E102" s="199" t="s">
        <v>737</v>
      </c>
    </row>
    <row r="103">
      <c r="A103" s="300">
        <v>43334.0</v>
      </c>
      <c r="B103" s="301" t="s">
        <v>1017</v>
      </c>
      <c r="C103" s="302">
        <v>-9.03</v>
      </c>
      <c r="D103" s="302" t="s">
        <v>941</v>
      </c>
      <c r="E103" s="199" t="s">
        <v>737</v>
      </c>
    </row>
    <row r="104">
      <c r="A104" s="300">
        <v>43334.0</v>
      </c>
      <c r="B104" s="301" t="s">
        <v>1019</v>
      </c>
      <c r="C104" s="302">
        <v>-5.32</v>
      </c>
      <c r="D104" s="302" t="s">
        <v>941</v>
      </c>
      <c r="E104" s="199" t="s">
        <v>737</v>
      </c>
    </row>
    <row r="105">
      <c r="A105" s="300">
        <v>43334.0</v>
      </c>
      <c r="B105" s="301" t="s">
        <v>1022</v>
      </c>
      <c r="C105" s="302">
        <v>-60.28</v>
      </c>
      <c r="D105" s="302" t="s">
        <v>941</v>
      </c>
      <c r="E105" s="199" t="s">
        <v>737</v>
      </c>
    </row>
    <row r="106">
      <c r="A106" s="300">
        <v>43333.0</v>
      </c>
      <c r="B106" s="301" t="s">
        <v>1039</v>
      </c>
      <c r="C106" s="302">
        <v>-1.38</v>
      </c>
      <c r="D106" s="302" t="s">
        <v>941</v>
      </c>
      <c r="E106" s="199" t="s">
        <v>737</v>
      </c>
    </row>
    <row r="107">
      <c r="A107" s="300">
        <v>43333.0</v>
      </c>
      <c r="B107" s="301">
        <v>530090.0</v>
      </c>
      <c r="C107" s="302">
        <v>-81.33</v>
      </c>
      <c r="D107" s="302" t="s">
        <v>941</v>
      </c>
      <c r="E107" s="199" t="s">
        <v>737</v>
      </c>
    </row>
    <row r="108">
      <c r="A108" s="300">
        <v>43333.0</v>
      </c>
      <c r="B108" s="301" t="s">
        <v>1017</v>
      </c>
      <c r="C108" s="302">
        <v>-1.03</v>
      </c>
      <c r="D108" s="302" t="s">
        <v>941</v>
      </c>
      <c r="E108" s="199" t="s">
        <v>737</v>
      </c>
    </row>
    <row r="109">
      <c r="A109" s="300">
        <v>43333.0</v>
      </c>
      <c r="B109" s="301" t="s">
        <v>1017</v>
      </c>
      <c r="C109" s="302">
        <v>-4.43</v>
      </c>
      <c r="D109" s="302" t="s">
        <v>941</v>
      </c>
      <c r="E109" s="199" t="s">
        <v>737</v>
      </c>
    </row>
    <row r="110">
      <c r="A110" s="300">
        <v>43333.0</v>
      </c>
      <c r="B110" s="301" t="s">
        <v>1017</v>
      </c>
      <c r="C110" s="302">
        <v>-4.63</v>
      </c>
      <c r="D110" s="302" t="s">
        <v>941</v>
      </c>
      <c r="E110" s="199" t="s">
        <v>737</v>
      </c>
    </row>
    <row r="111">
      <c r="A111" s="300">
        <v>43333.0</v>
      </c>
      <c r="B111" s="301" t="s">
        <v>1017</v>
      </c>
      <c r="C111" s="302">
        <v>1.17</v>
      </c>
      <c r="D111" s="302" t="s">
        <v>941</v>
      </c>
      <c r="E111" s="199"/>
    </row>
    <row r="112">
      <c r="A112" s="300">
        <v>43333.0</v>
      </c>
      <c r="B112" s="301" t="s">
        <v>1017</v>
      </c>
      <c r="C112" s="302">
        <v>2.72</v>
      </c>
      <c r="D112" s="302" t="s">
        <v>941</v>
      </c>
      <c r="E112" s="199"/>
    </row>
    <row r="113">
      <c r="A113" s="300">
        <v>43333.0</v>
      </c>
      <c r="B113" s="301" t="s">
        <v>1017</v>
      </c>
      <c r="C113" s="302">
        <v>3.5</v>
      </c>
      <c r="D113" s="302" t="s">
        <v>941</v>
      </c>
      <c r="E113" s="199"/>
    </row>
    <row r="114">
      <c r="A114" s="300">
        <v>43332.0</v>
      </c>
      <c r="B114" s="301" t="s">
        <v>1030</v>
      </c>
      <c r="C114" s="302">
        <v>-25.15</v>
      </c>
      <c r="D114" s="302" t="s">
        <v>941</v>
      </c>
      <c r="E114" s="199" t="s">
        <v>737</v>
      </c>
    </row>
    <row r="115">
      <c r="A115" s="300">
        <v>43331.0</v>
      </c>
      <c r="B115" s="301" t="s">
        <v>1018</v>
      </c>
      <c r="C115" s="302">
        <v>8.99</v>
      </c>
      <c r="D115" s="302" t="s">
        <v>941</v>
      </c>
      <c r="E115" s="199"/>
    </row>
    <row r="116">
      <c r="A116" s="300">
        <v>43331.0</v>
      </c>
      <c r="B116" s="301" t="s">
        <v>1018</v>
      </c>
      <c r="C116" s="302">
        <v>-1.02</v>
      </c>
      <c r="D116" s="302" t="s">
        <v>941</v>
      </c>
      <c r="E116" s="199" t="s">
        <v>737</v>
      </c>
    </row>
    <row r="117">
      <c r="A117" s="300">
        <v>43331.0</v>
      </c>
      <c r="B117" s="301" t="s">
        <v>1057</v>
      </c>
      <c r="C117" s="302">
        <v>-81.01</v>
      </c>
      <c r="D117" s="302" t="s">
        <v>941</v>
      </c>
      <c r="E117" s="199" t="s">
        <v>737</v>
      </c>
    </row>
    <row r="118">
      <c r="A118" s="300">
        <v>43331.0</v>
      </c>
      <c r="B118" s="301" t="s">
        <v>1017</v>
      </c>
      <c r="C118" s="302">
        <v>-9.03</v>
      </c>
      <c r="D118" s="302" t="s">
        <v>941</v>
      </c>
      <c r="E118" s="199" t="s">
        <v>737</v>
      </c>
    </row>
    <row r="119">
      <c r="A119" s="300">
        <v>43331.0</v>
      </c>
      <c r="B119" s="301" t="s">
        <v>1019</v>
      </c>
      <c r="C119" s="302">
        <v>-7.53</v>
      </c>
      <c r="D119" s="302" t="s">
        <v>941</v>
      </c>
      <c r="E119" s="199" t="s">
        <v>737</v>
      </c>
    </row>
    <row r="120">
      <c r="A120" s="300">
        <v>43331.0</v>
      </c>
      <c r="B120" s="301" t="s">
        <v>1019</v>
      </c>
      <c r="C120" s="302">
        <v>-8.56</v>
      </c>
      <c r="D120" s="302" t="s">
        <v>941</v>
      </c>
      <c r="E120" s="199" t="s">
        <v>737</v>
      </c>
    </row>
    <row r="121">
      <c r="A121" s="300">
        <v>43329.0</v>
      </c>
      <c r="B121" s="301" t="s">
        <v>1018</v>
      </c>
      <c r="C121" s="302">
        <v>-9.02</v>
      </c>
      <c r="D121" s="302" t="s">
        <v>941</v>
      </c>
      <c r="E121" s="199" t="s">
        <v>737</v>
      </c>
    </row>
    <row r="122">
      <c r="A122" s="300">
        <v>43329.0</v>
      </c>
      <c r="B122" s="301" t="s">
        <v>1017</v>
      </c>
      <c r="C122" s="302">
        <v>-3.45</v>
      </c>
      <c r="D122" s="302" t="s">
        <v>941</v>
      </c>
      <c r="E122" s="199" t="s">
        <v>737</v>
      </c>
    </row>
    <row r="123">
      <c r="A123" s="300">
        <v>43329.0</v>
      </c>
      <c r="B123" s="301" t="s">
        <v>1058</v>
      </c>
      <c r="C123" s="302">
        <v>-18.81</v>
      </c>
      <c r="D123" s="302" t="s">
        <v>941</v>
      </c>
      <c r="E123" s="199" t="s">
        <v>737</v>
      </c>
    </row>
    <row r="124">
      <c r="A124" s="300">
        <v>43327.0</v>
      </c>
      <c r="B124" s="301" t="s">
        <v>1018</v>
      </c>
      <c r="C124" s="302">
        <v>-5.29</v>
      </c>
      <c r="D124" s="302" t="s">
        <v>941</v>
      </c>
      <c r="E124" s="199" t="s">
        <v>737</v>
      </c>
    </row>
    <row r="125">
      <c r="A125" s="300">
        <v>43327.0</v>
      </c>
      <c r="B125" s="301" t="s">
        <v>1059</v>
      </c>
      <c r="C125" s="302">
        <v>-3.04</v>
      </c>
      <c r="D125" s="302" t="s">
        <v>941</v>
      </c>
      <c r="E125" s="199" t="s">
        <v>737</v>
      </c>
    </row>
    <row r="126">
      <c r="A126" s="300">
        <v>43327.0</v>
      </c>
      <c r="B126" s="301" t="s">
        <v>1017</v>
      </c>
      <c r="C126" s="302">
        <v>-1.21</v>
      </c>
      <c r="D126" s="302" t="s">
        <v>941</v>
      </c>
      <c r="E126" s="199" t="s">
        <v>737</v>
      </c>
    </row>
    <row r="127">
      <c r="A127" s="300">
        <v>43327.0</v>
      </c>
      <c r="B127" s="301" t="s">
        <v>1017</v>
      </c>
      <c r="C127" s="302">
        <v>-12.81</v>
      </c>
      <c r="D127" s="302" t="s">
        <v>941</v>
      </c>
      <c r="E127" s="199" t="s">
        <v>737</v>
      </c>
    </row>
    <row r="128">
      <c r="A128" s="300">
        <v>43327.0</v>
      </c>
      <c r="B128" s="301" t="s">
        <v>1017</v>
      </c>
      <c r="C128" s="302">
        <v>-2.8</v>
      </c>
      <c r="D128" s="302" t="s">
        <v>941</v>
      </c>
      <c r="E128" s="199" t="s">
        <v>737</v>
      </c>
    </row>
    <row r="129">
      <c r="A129" s="300">
        <v>43327.0</v>
      </c>
      <c r="B129" s="301" t="s">
        <v>1017</v>
      </c>
      <c r="C129" s="302">
        <v>-3.59</v>
      </c>
      <c r="D129" s="302" t="s">
        <v>941</v>
      </c>
      <c r="E129" s="199" t="s">
        <v>737</v>
      </c>
    </row>
    <row r="130">
      <c r="A130" s="300">
        <v>43327.0</v>
      </c>
      <c r="B130" s="301" t="s">
        <v>1017</v>
      </c>
      <c r="C130" s="302">
        <v>-3.94</v>
      </c>
      <c r="D130" s="302" t="s">
        <v>941</v>
      </c>
      <c r="E130" s="199" t="s">
        <v>737</v>
      </c>
    </row>
    <row r="131">
      <c r="A131" s="300">
        <v>43327.0</v>
      </c>
      <c r="B131" s="301" t="s">
        <v>1017</v>
      </c>
      <c r="C131" s="302">
        <v>-6.04</v>
      </c>
      <c r="D131" s="302" t="s">
        <v>941</v>
      </c>
      <c r="E131" s="199" t="s">
        <v>737</v>
      </c>
    </row>
    <row r="132">
      <c r="A132" s="300">
        <v>43327.0</v>
      </c>
      <c r="B132" s="301" t="s">
        <v>1017</v>
      </c>
      <c r="C132" s="302">
        <v>-9.31</v>
      </c>
      <c r="D132" s="302" t="s">
        <v>941</v>
      </c>
      <c r="E132" s="199" t="s">
        <v>737</v>
      </c>
    </row>
    <row r="133">
      <c r="A133" s="300">
        <v>43327.0</v>
      </c>
      <c r="B133" s="301" t="s">
        <v>1060</v>
      </c>
      <c r="C133" s="302">
        <v>500.0</v>
      </c>
      <c r="D133" s="302" t="s">
        <v>941</v>
      </c>
      <c r="E133" s="199"/>
    </row>
    <row r="134">
      <c r="A134" s="300">
        <v>43325.0</v>
      </c>
      <c r="B134" s="301" t="s">
        <v>1018</v>
      </c>
      <c r="C134" s="302">
        <v>-8.93</v>
      </c>
      <c r="D134" s="302" t="s">
        <v>941</v>
      </c>
      <c r="E134" s="199" t="s">
        <v>737</v>
      </c>
    </row>
    <row r="135">
      <c r="A135" s="300">
        <v>43322.0</v>
      </c>
      <c r="B135" s="301" t="s">
        <v>1018</v>
      </c>
      <c r="C135" s="302">
        <v>-1.93</v>
      </c>
      <c r="D135" s="302" t="s">
        <v>941</v>
      </c>
      <c r="E135" s="199" t="s">
        <v>737</v>
      </c>
    </row>
    <row r="136">
      <c r="A136" s="300">
        <v>43320.0</v>
      </c>
      <c r="B136" s="301" t="s">
        <v>1018</v>
      </c>
      <c r="C136" s="302">
        <v>-8.99</v>
      </c>
      <c r="D136" s="302" t="s">
        <v>941</v>
      </c>
      <c r="E136" s="199" t="s">
        <v>737</v>
      </c>
    </row>
    <row r="137">
      <c r="A137" s="300">
        <v>43320.0</v>
      </c>
      <c r="B137" s="301" t="s">
        <v>1059</v>
      </c>
      <c r="C137" s="302">
        <v>-2.95</v>
      </c>
      <c r="D137" s="302" t="s">
        <v>941</v>
      </c>
      <c r="E137" s="199" t="s">
        <v>737</v>
      </c>
    </row>
    <row r="138">
      <c r="A138" s="300">
        <v>43320.0</v>
      </c>
      <c r="B138" s="301" t="s">
        <v>1019</v>
      </c>
      <c r="C138" s="302">
        <v>-5.04</v>
      </c>
      <c r="D138" s="302" t="s">
        <v>941</v>
      </c>
      <c r="E138" s="199" t="s">
        <v>737</v>
      </c>
    </row>
    <row r="139">
      <c r="A139" s="300">
        <v>43319.0</v>
      </c>
      <c r="B139" s="301" t="s">
        <v>960</v>
      </c>
      <c r="C139" s="302">
        <v>100.0</v>
      </c>
      <c r="D139" s="302" t="s">
        <v>941</v>
      </c>
      <c r="E139" s="199"/>
    </row>
    <row r="140">
      <c r="A140" s="7">
        <v>43291.0</v>
      </c>
      <c r="B140" s="303" t="s">
        <v>958</v>
      </c>
      <c r="C140" s="199">
        <v>-340.6</v>
      </c>
      <c r="D140" s="199" t="s">
        <v>941</v>
      </c>
      <c r="E140" s="199"/>
    </row>
    <row r="141">
      <c r="A141" s="300">
        <v>43290.0</v>
      </c>
      <c r="B141" s="301" t="s">
        <v>991</v>
      </c>
      <c r="C141" s="302">
        <v>-108000.0</v>
      </c>
      <c r="D141" s="302" t="s">
        <v>941</v>
      </c>
      <c r="E141" s="199"/>
    </row>
    <row r="142">
      <c r="A142" s="300">
        <v>43286.0</v>
      </c>
      <c r="B142" s="301" t="s">
        <v>963</v>
      </c>
      <c r="C142" s="302">
        <v>207.0</v>
      </c>
      <c r="D142" s="302" t="s">
        <v>941</v>
      </c>
      <c r="E142" s="199"/>
    </row>
    <row r="143">
      <c r="A143" s="300">
        <v>43286.0</v>
      </c>
      <c r="B143" s="301" t="s">
        <v>997</v>
      </c>
      <c r="C143" s="302">
        <v>-890.0</v>
      </c>
      <c r="D143" s="302" t="s">
        <v>941</v>
      </c>
      <c r="E143" s="199"/>
    </row>
    <row r="144">
      <c r="A144" s="300">
        <v>43284.0</v>
      </c>
      <c r="B144" s="301" t="s">
        <v>940</v>
      </c>
      <c r="C144" s="302">
        <v>494.4</v>
      </c>
      <c r="D144" s="302" t="s">
        <v>941</v>
      </c>
      <c r="E144" s="199"/>
    </row>
    <row r="145">
      <c r="A145" s="7">
        <v>43276.0</v>
      </c>
      <c r="B145" s="303" t="s">
        <v>993</v>
      </c>
      <c r="C145" s="199">
        <v>-0.8</v>
      </c>
      <c r="D145" s="199" t="s">
        <v>193</v>
      </c>
      <c r="E145" s="199" t="s">
        <v>737</v>
      </c>
    </row>
    <row r="146">
      <c r="A146" s="300">
        <v>43264.0</v>
      </c>
      <c r="B146" s="301" t="s">
        <v>1061</v>
      </c>
      <c r="C146" s="302">
        <v>-866.73</v>
      </c>
      <c r="D146" s="302" t="s">
        <v>941</v>
      </c>
      <c r="E146" s="199" t="s">
        <v>737</v>
      </c>
    </row>
    <row r="147">
      <c r="A147" s="300">
        <v>43262.0</v>
      </c>
      <c r="B147" s="301" t="s">
        <v>958</v>
      </c>
      <c r="C147" s="302">
        <v>-340.6</v>
      </c>
      <c r="D147" s="302" t="s">
        <v>941</v>
      </c>
      <c r="E147" s="199"/>
    </row>
    <row r="148">
      <c r="A148" s="300">
        <v>43262.0</v>
      </c>
      <c r="B148" s="301" t="s">
        <v>1062</v>
      </c>
      <c r="C148" s="302">
        <v>-27.0</v>
      </c>
      <c r="D148" s="302" t="s">
        <v>941</v>
      </c>
      <c r="E148" s="199" t="s">
        <v>737</v>
      </c>
    </row>
    <row r="149">
      <c r="A149" s="300">
        <v>43251.0</v>
      </c>
      <c r="B149" s="301" t="s">
        <v>1063</v>
      </c>
      <c r="C149" s="302">
        <v>230.0</v>
      </c>
      <c r="D149" s="302" t="s">
        <v>941</v>
      </c>
      <c r="E149" s="199"/>
    </row>
    <row r="150">
      <c r="A150" s="300">
        <v>43249.0</v>
      </c>
      <c r="B150" s="301" t="s">
        <v>1067</v>
      </c>
      <c r="C150" s="302">
        <v>-20.0</v>
      </c>
      <c r="D150" s="302" t="s">
        <v>941</v>
      </c>
      <c r="E150" s="199" t="s">
        <v>737</v>
      </c>
    </row>
    <row r="151">
      <c r="A151" s="300">
        <v>43249.0</v>
      </c>
      <c r="B151" s="301" t="s">
        <v>1073</v>
      </c>
      <c r="C151" s="302">
        <v>-42.5</v>
      </c>
      <c r="D151" s="302" t="s">
        <v>941</v>
      </c>
      <c r="E151" s="199" t="s">
        <v>737</v>
      </c>
    </row>
    <row r="152">
      <c r="A152" s="300">
        <v>43248.0</v>
      </c>
      <c r="B152" s="301" t="s">
        <v>1078</v>
      </c>
      <c r="C152" s="302">
        <v>-5.2</v>
      </c>
      <c r="D152" s="302" t="s">
        <v>941</v>
      </c>
      <c r="E152" s="199" t="s">
        <v>737</v>
      </c>
    </row>
    <row r="153">
      <c r="A153" s="300">
        <v>43248.0</v>
      </c>
      <c r="B153" s="301" t="s">
        <v>1078</v>
      </c>
      <c r="C153" s="302">
        <v>-0.8</v>
      </c>
      <c r="D153" s="302" t="s">
        <v>941</v>
      </c>
      <c r="E153" s="199" t="s">
        <v>737</v>
      </c>
    </row>
    <row r="154">
      <c r="A154" s="300">
        <v>43246.0</v>
      </c>
      <c r="B154" s="301" t="s">
        <v>1080</v>
      </c>
      <c r="C154" s="302">
        <v>-22.9</v>
      </c>
      <c r="D154" s="302" t="s">
        <v>941</v>
      </c>
      <c r="E154" s="199" t="s">
        <v>737</v>
      </c>
    </row>
    <row r="155">
      <c r="A155" s="300">
        <v>43244.0</v>
      </c>
      <c r="B155" s="301" t="s">
        <v>1081</v>
      </c>
      <c r="C155" s="302">
        <v>-20.84</v>
      </c>
      <c r="D155" s="302" t="s">
        <v>941</v>
      </c>
      <c r="E155" s="199" t="s">
        <v>737</v>
      </c>
    </row>
    <row r="156">
      <c r="A156" s="300">
        <v>43243.0</v>
      </c>
      <c r="B156" s="301" t="s">
        <v>1083</v>
      </c>
      <c r="C156" s="302">
        <v>17.96</v>
      </c>
      <c r="D156" s="302" t="s">
        <v>941</v>
      </c>
      <c r="E156" s="199"/>
    </row>
    <row r="157">
      <c r="A157" s="300">
        <v>43243.0</v>
      </c>
      <c r="B157" s="301" t="s">
        <v>955</v>
      </c>
      <c r="C157" s="302">
        <v>35.89</v>
      </c>
      <c r="D157" s="302" t="s">
        <v>193</v>
      </c>
      <c r="E157" s="199"/>
    </row>
    <row r="158">
      <c r="A158" s="300">
        <v>43242.0</v>
      </c>
      <c r="B158" s="301" t="s">
        <v>1084</v>
      </c>
      <c r="C158" s="302">
        <v>-35.89</v>
      </c>
      <c r="D158" s="302" t="s">
        <v>941</v>
      </c>
      <c r="E158" s="199"/>
    </row>
    <row r="159">
      <c r="A159" s="300">
        <v>43229.0</v>
      </c>
      <c r="B159" s="301" t="s">
        <v>960</v>
      </c>
      <c r="C159" s="302">
        <v>100.0</v>
      </c>
      <c r="D159" s="302" t="s">
        <v>941</v>
      </c>
      <c r="E159" s="199"/>
    </row>
    <row r="160">
      <c r="A160" s="300">
        <v>43229.0</v>
      </c>
      <c r="B160" s="301" t="s">
        <v>1078</v>
      </c>
      <c r="C160" s="302">
        <v>-2.0</v>
      </c>
      <c r="D160" s="302" t="s">
        <v>941</v>
      </c>
      <c r="E160" s="199" t="s">
        <v>737</v>
      </c>
    </row>
    <row r="161">
      <c r="A161" s="7">
        <v>43227.0</v>
      </c>
      <c r="B161" s="303" t="s">
        <v>997</v>
      </c>
      <c r="C161" s="199">
        <v>-890.0</v>
      </c>
      <c r="D161" s="199" t="s">
        <v>941</v>
      </c>
      <c r="E161" s="199"/>
    </row>
    <row r="162">
      <c r="A162" s="300">
        <v>43227.0</v>
      </c>
      <c r="B162" s="301" t="s">
        <v>1085</v>
      </c>
      <c r="C162" s="302">
        <v>700.0</v>
      </c>
      <c r="D162" s="302" t="s">
        <v>941</v>
      </c>
      <c r="E162" s="199"/>
    </row>
    <row r="163">
      <c r="A163" s="300">
        <v>43225.0</v>
      </c>
      <c r="B163" s="301" t="s">
        <v>1086</v>
      </c>
      <c r="C163" s="302">
        <v>-5.44</v>
      </c>
      <c r="D163" s="302" t="s">
        <v>941</v>
      </c>
      <c r="E163" s="199" t="s">
        <v>737</v>
      </c>
    </row>
    <row r="164">
      <c r="A164" s="7">
        <v>43224.0</v>
      </c>
      <c r="B164" s="303" t="s">
        <v>963</v>
      </c>
      <c r="C164" s="199">
        <v>207.0</v>
      </c>
      <c r="D164" s="199" t="s">
        <v>941</v>
      </c>
      <c r="E164" s="199"/>
    </row>
    <row r="165">
      <c r="A165" s="322">
        <v>43193.0</v>
      </c>
      <c r="B165" s="323" t="s">
        <v>940</v>
      </c>
      <c r="C165" s="302">
        <v>494.4</v>
      </c>
      <c r="D165" s="325" t="s">
        <v>941</v>
      </c>
      <c r="E165" s="207"/>
    </row>
    <row r="166">
      <c r="A166" s="300">
        <v>43207.0</v>
      </c>
      <c r="B166" s="301" t="s">
        <v>993</v>
      </c>
      <c r="C166" s="302">
        <v>-0.8</v>
      </c>
      <c r="D166" s="302" t="s">
        <v>193</v>
      </c>
      <c r="E166" s="199" t="s">
        <v>737</v>
      </c>
    </row>
    <row r="167">
      <c r="A167" s="300">
        <v>43202.0</v>
      </c>
      <c r="B167" s="301" t="s">
        <v>1078</v>
      </c>
      <c r="C167" s="302">
        <v>-2.6</v>
      </c>
      <c r="D167" s="302" t="s">
        <v>193</v>
      </c>
      <c r="E167" s="199" t="s">
        <v>737</v>
      </c>
    </row>
    <row r="168">
      <c r="A168" s="300">
        <v>43202.0</v>
      </c>
      <c r="B168" s="301" t="s">
        <v>1078</v>
      </c>
      <c r="C168" s="302">
        <v>-1.3</v>
      </c>
      <c r="D168" s="302" t="s">
        <v>193</v>
      </c>
      <c r="E168" s="199" t="s">
        <v>737</v>
      </c>
    </row>
    <row r="169">
      <c r="A169" s="300">
        <v>43200.0</v>
      </c>
      <c r="B169" s="301" t="s">
        <v>958</v>
      </c>
      <c r="C169" s="302">
        <v>-340.6</v>
      </c>
      <c r="D169" s="302" t="s">
        <v>941</v>
      </c>
      <c r="E169" s="199"/>
    </row>
    <row r="170">
      <c r="A170" s="300">
        <v>43199.0</v>
      </c>
      <c r="B170" s="301" t="s">
        <v>1087</v>
      </c>
      <c r="C170" s="302">
        <v>-0.5</v>
      </c>
      <c r="D170" s="302" t="s">
        <v>941</v>
      </c>
      <c r="E170" s="199" t="s">
        <v>737</v>
      </c>
    </row>
    <row r="171">
      <c r="A171" s="300">
        <v>43195.0</v>
      </c>
      <c r="B171" s="301" t="s">
        <v>997</v>
      </c>
      <c r="C171" s="302">
        <v>-890.0</v>
      </c>
      <c r="D171" s="302" t="s">
        <v>941</v>
      </c>
      <c r="E171" s="199"/>
    </row>
    <row r="172">
      <c r="A172" s="300">
        <v>43195.0</v>
      </c>
      <c r="B172" s="301" t="s">
        <v>963</v>
      </c>
      <c r="C172" s="302">
        <v>207.0</v>
      </c>
      <c r="D172" s="302" t="s">
        <v>941</v>
      </c>
      <c r="E172" s="199"/>
    </row>
    <row r="173">
      <c r="A173" s="300">
        <v>43195.0</v>
      </c>
      <c r="B173" s="301" t="s">
        <v>1085</v>
      </c>
      <c r="C173" s="302">
        <v>700.0</v>
      </c>
      <c r="D173" s="302" t="s">
        <v>941</v>
      </c>
      <c r="E173" s="199"/>
    </row>
    <row r="174">
      <c r="A174" s="300">
        <v>43193.0</v>
      </c>
      <c r="B174" s="301" t="s">
        <v>940</v>
      </c>
      <c r="C174" s="302">
        <v>505.92</v>
      </c>
      <c r="D174" s="302" t="s">
        <v>941</v>
      </c>
      <c r="E174" s="199"/>
    </row>
    <row r="175">
      <c r="A175" s="300">
        <v>43186.0</v>
      </c>
      <c r="B175" s="301" t="s">
        <v>993</v>
      </c>
      <c r="C175" s="302">
        <v>-1.6</v>
      </c>
      <c r="D175" s="302" t="s">
        <v>193</v>
      </c>
      <c r="E175" s="199" t="s">
        <v>737</v>
      </c>
    </row>
    <row r="176">
      <c r="A176" s="7">
        <v>43186.0</v>
      </c>
      <c r="B176" s="303" t="s">
        <v>1078</v>
      </c>
      <c r="C176" s="199">
        <v>-0.8</v>
      </c>
      <c r="D176" s="199" t="s">
        <v>193</v>
      </c>
      <c r="E176" s="199" t="s">
        <v>737</v>
      </c>
    </row>
    <row r="177">
      <c r="A177" s="300">
        <v>43179.0</v>
      </c>
      <c r="B177" s="301" t="s">
        <v>1088</v>
      </c>
      <c r="C177" s="302">
        <v>-3.0</v>
      </c>
      <c r="D177" s="302" t="s">
        <v>941</v>
      </c>
      <c r="E177" s="199" t="s">
        <v>737</v>
      </c>
    </row>
    <row r="178">
      <c r="A178" s="300">
        <v>43178.0</v>
      </c>
      <c r="B178" s="301" t="s">
        <v>1081</v>
      </c>
      <c r="C178" s="302">
        <v>-21.34</v>
      </c>
      <c r="D178" s="302" t="s">
        <v>941</v>
      </c>
      <c r="E178" s="199" t="s">
        <v>737</v>
      </c>
    </row>
    <row r="179">
      <c r="A179" s="300">
        <v>43173.0</v>
      </c>
      <c r="B179" s="301" t="s">
        <v>1078</v>
      </c>
      <c r="C179" s="302">
        <v>-0.8</v>
      </c>
      <c r="D179" s="302" t="s">
        <v>193</v>
      </c>
      <c r="E179" s="199" t="s">
        <v>737</v>
      </c>
    </row>
    <row r="180">
      <c r="A180" s="300">
        <v>43171.0</v>
      </c>
      <c r="B180" s="301" t="s">
        <v>1089</v>
      </c>
      <c r="C180" s="302">
        <v>100.0</v>
      </c>
      <c r="D180" s="302" t="s">
        <v>941</v>
      </c>
      <c r="E180" s="199"/>
    </row>
    <row r="181">
      <c r="A181" s="300">
        <v>43171.0</v>
      </c>
      <c r="B181" s="301" t="s">
        <v>958</v>
      </c>
      <c r="C181" s="302">
        <v>-340.6</v>
      </c>
      <c r="D181" s="302" t="s">
        <v>941</v>
      </c>
      <c r="E181" s="199"/>
    </row>
    <row r="182">
      <c r="A182" s="300">
        <v>43164.0</v>
      </c>
      <c r="B182" s="301" t="s">
        <v>1090</v>
      </c>
      <c r="C182" s="302">
        <v>-90.0</v>
      </c>
      <c r="D182" s="302" t="s">
        <v>941</v>
      </c>
      <c r="E182" s="199" t="s">
        <v>737</v>
      </c>
    </row>
    <row r="183">
      <c r="A183" s="300">
        <v>43164.0</v>
      </c>
      <c r="B183" s="301" t="s">
        <v>963</v>
      </c>
      <c r="C183" s="302">
        <v>207.0</v>
      </c>
      <c r="D183" s="302" t="s">
        <v>941</v>
      </c>
      <c r="E183" s="199"/>
    </row>
    <row r="184">
      <c r="A184" s="7">
        <v>43164.0</v>
      </c>
      <c r="B184" s="303" t="s">
        <v>1091</v>
      </c>
      <c r="C184" s="199">
        <v>-285.0</v>
      </c>
      <c r="D184" s="199" t="s">
        <v>941</v>
      </c>
      <c r="E184" s="199"/>
    </row>
    <row r="185">
      <c r="A185" s="7">
        <v>43164.0</v>
      </c>
      <c r="B185" s="303" t="s">
        <v>997</v>
      </c>
      <c r="C185" s="199">
        <v>-890.0</v>
      </c>
      <c r="D185" s="199" t="s">
        <v>941</v>
      </c>
      <c r="E185" s="199"/>
    </row>
    <row r="186">
      <c r="A186" s="7">
        <v>43164.0</v>
      </c>
      <c r="B186" s="303" t="s">
        <v>1085</v>
      </c>
      <c r="C186" s="199">
        <v>700.0</v>
      </c>
      <c r="D186" s="199" t="s">
        <v>941</v>
      </c>
      <c r="E186" s="199"/>
    </row>
    <row r="187">
      <c r="A187" s="7">
        <v>43160.0</v>
      </c>
      <c r="B187" s="303" t="s">
        <v>1078</v>
      </c>
      <c r="C187" s="199">
        <v>-2.0</v>
      </c>
      <c r="D187" s="199" t="s">
        <v>193</v>
      </c>
      <c r="E187" s="199" t="s">
        <v>737</v>
      </c>
    </row>
    <row r="188">
      <c r="A188" s="7">
        <v>43160.0</v>
      </c>
      <c r="B188" s="303" t="s">
        <v>940</v>
      </c>
      <c r="C188" s="199">
        <v>456.96</v>
      </c>
      <c r="D188" s="199" t="s">
        <v>941</v>
      </c>
      <c r="E188" s="199"/>
    </row>
    <row r="189">
      <c r="A189" s="300">
        <v>43158.0</v>
      </c>
      <c r="B189" s="301" t="s">
        <v>993</v>
      </c>
      <c r="C189" s="302">
        <v>-3.6</v>
      </c>
      <c r="D189" s="302" t="s">
        <v>193</v>
      </c>
      <c r="E189" s="199" t="s">
        <v>737</v>
      </c>
    </row>
    <row r="190">
      <c r="A190" s="300">
        <v>43151.0</v>
      </c>
      <c r="B190" s="301" t="s">
        <v>1102</v>
      </c>
      <c r="C190" s="302">
        <v>-1.0</v>
      </c>
      <c r="D190" s="199" t="s">
        <v>941</v>
      </c>
      <c r="E190" s="199" t="s">
        <v>737</v>
      </c>
    </row>
    <row r="191">
      <c r="A191" s="300">
        <v>43145.0</v>
      </c>
      <c r="B191" s="301" t="s">
        <v>1078</v>
      </c>
      <c r="C191" s="302">
        <v>-0.8</v>
      </c>
      <c r="D191" s="199" t="s">
        <v>193</v>
      </c>
      <c r="E191" s="199" t="s">
        <v>737</v>
      </c>
    </row>
    <row r="192">
      <c r="A192" s="300">
        <v>43143.0</v>
      </c>
      <c r="B192" s="301" t="s">
        <v>958</v>
      </c>
      <c r="C192" s="302">
        <v>-340.6</v>
      </c>
      <c r="D192" s="199" t="s">
        <v>941</v>
      </c>
      <c r="E192" s="199"/>
    </row>
    <row r="193">
      <c r="A193" s="300">
        <v>43138.0</v>
      </c>
      <c r="B193" s="301" t="s">
        <v>1104</v>
      </c>
      <c r="C193" s="302">
        <v>1.32</v>
      </c>
      <c r="D193" s="199" t="s">
        <v>193</v>
      </c>
      <c r="E193" s="199"/>
    </row>
    <row r="194">
      <c r="A194" s="300">
        <v>43136.0</v>
      </c>
      <c r="B194" s="301" t="s">
        <v>997</v>
      </c>
      <c r="C194" s="302">
        <v>-890.0</v>
      </c>
      <c r="D194" s="199" t="s">
        <v>941</v>
      </c>
      <c r="E194" s="199"/>
    </row>
    <row r="195">
      <c r="A195" s="300">
        <v>43136.0</v>
      </c>
      <c r="B195" s="301" t="s">
        <v>963</v>
      </c>
      <c r="C195" s="302">
        <v>207.0</v>
      </c>
      <c r="D195" s="199" t="s">
        <v>941</v>
      </c>
      <c r="E195" s="199"/>
    </row>
    <row r="196">
      <c r="A196" s="300">
        <v>43136.0</v>
      </c>
      <c r="B196" s="301" t="s">
        <v>1085</v>
      </c>
      <c r="C196" s="302">
        <v>700.0</v>
      </c>
      <c r="D196" s="199" t="s">
        <v>941</v>
      </c>
      <c r="E196" s="199"/>
    </row>
    <row r="197">
      <c r="A197" s="300">
        <v>43134.0</v>
      </c>
      <c r="B197" s="301" t="s">
        <v>1105</v>
      </c>
      <c r="C197" s="302">
        <v>1.13</v>
      </c>
      <c r="D197" s="199" t="s">
        <v>193</v>
      </c>
      <c r="E197" s="199"/>
    </row>
    <row r="198">
      <c r="A198" s="300">
        <v>43133.0</v>
      </c>
      <c r="B198" s="301" t="s">
        <v>1081</v>
      </c>
      <c r="C198" s="302" t="s">
        <v>1106</v>
      </c>
      <c r="D198" s="199" t="s">
        <v>941</v>
      </c>
      <c r="E198" s="199"/>
    </row>
    <row r="199">
      <c r="A199" s="300">
        <v>43132.0</v>
      </c>
      <c r="B199" s="301" t="s">
        <v>940</v>
      </c>
      <c r="C199" s="302">
        <v>505.92</v>
      </c>
      <c r="D199" s="199" t="s">
        <v>941</v>
      </c>
      <c r="E199" s="199"/>
    </row>
    <row r="200">
      <c r="A200" s="300">
        <v>43132.0</v>
      </c>
      <c r="B200" s="301" t="s">
        <v>1107</v>
      </c>
      <c r="C200" s="302">
        <v>-6.25</v>
      </c>
      <c r="D200" s="199" t="s">
        <v>193</v>
      </c>
      <c r="E200" s="199" t="s">
        <v>737</v>
      </c>
    </row>
    <row r="201">
      <c r="A201" s="300">
        <v>43127.0</v>
      </c>
      <c r="B201" s="301" t="s">
        <v>1108</v>
      </c>
      <c r="C201" s="302">
        <v>-3.41</v>
      </c>
      <c r="D201" s="199" t="s">
        <v>193</v>
      </c>
      <c r="E201" s="199" t="s">
        <v>737</v>
      </c>
    </row>
    <row r="202">
      <c r="A202" s="300">
        <v>43126.0</v>
      </c>
      <c r="B202" s="301" t="s">
        <v>1109</v>
      </c>
      <c r="C202" s="302">
        <v>100.0</v>
      </c>
      <c r="D202" s="199" t="s">
        <v>941</v>
      </c>
      <c r="E202" s="199"/>
    </row>
    <row r="203">
      <c r="A203" s="300">
        <v>43124.0</v>
      </c>
      <c r="B203" s="301" t="s">
        <v>1010</v>
      </c>
      <c r="C203" s="302">
        <v>20.0</v>
      </c>
      <c r="D203" s="199" t="s">
        <v>941</v>
      </c>
      <c r="E203" s="199"/>
    </row>
    <row r="204">
      <c r="A204" s="300">
        <v>43124.0</v>
      </c>
      <c r="B204" s="301" t="s">
        <v>1110</v>
      </c>
      <c r="C204" s="302">
        <v>-20.0</v>
      </c>
      <c r="D204" s="199" t="s">
        <v>193</v>
      </c>
      <c r="E204" s="199"/>
    </row>
    <row r="205">
      <c r="A205" s="300">
        <v>43116.0</v>
      </c>
      <c r="B205" s="301" t="s">
        <v>1111</v>
      </c>
      <c r="C205" s="302">
        <v>-2.9</v>
      </c>
      <c r="D205" s="199" t="s">
        <v>193</v>
      </c>
      <c r="E205" s="199" t="s">
        <v>737</v>
      </c>
    </row>
    <row r="206">
      <c r="A206" s="300">
        <v>43116.0</v>
      </c>
      <c r="B206" s="301" t="s">
        <v>1111</v>
      </c>
      <c r="C206" s="302">
        <v>-2.74</v>
      </c>
      <c r="D206" s="199" t="s">
        <v>193</v>
      </c>
      <c r="E206" s="199" t="s">
        <v>737</v>
      </c>
    </row>
    <row r="207">
      <c r="A207" s="300">
        <v>43115.0</v>
      </c>
      <c r="B207" s="301" t="s">
        <v>1112</v>
      </c>
      <c r="C207" s="302">
        <v>-74.82</v>
      </c>
      <c r="D207" s="199" t="s">
        <v>941</v>
      </c>
      <c r="E207" s="199" t="s">
        <v>737</v>
      </c>
    </row>
    <row r="208">
      <c r="A208" s="300">
        <v>43112.0</v>
      </c>
      <c r="B208" s="301" t="s">
        <v>997</v>
      </c>
      <c r="C208" s="302" t="s">
        <v>1113</v>
      </c>
      <c r="D208" s="199" t="s">
        <v>941</v>
      </c>
      <c r="E208" s="199"/>
    </row>
    <row r="209">
      <c r="A209" s="300">
        <v>43111.0</v>
      </c>
      <c r="B209" s="301" t="s">
        <v>1010</v>
      </c>
      <c r="C209" s="302">
        <v>400.0</v>
      </c>
      <c r="D209" s="199" t="s">
        <v>941</v>
      </c>
      <c r="E209" s="199"/>
    </row>
    <row r="210">
      <c r="A210" s="300">
        <v>43110.0</v>
      </c>
      <c r="B210" s="301" t="s">
        <v>1115</v>
      </c>
      <c r="C210" s="302">
        <v>-400.0</v>
      </c>
      <c r="D210" s="199" t="s">
        <v>193</v>
      </c>
      <c r="E210" s="199"/>
    </row>
    <row r="211">
      <c r="A211" s="300">
        <v>43110.0</v>
      </c>
      <c r="B211" s="301" t="s">
        <v>958</v>
      </c>
      <c r="C211" s="302">
        <v>-340.6</v>
      </c>
      <c r="D211" s="199" t="s">
        <v>941</v>
      </c>
      <c r="E211" s="199"/>
    </row>
    <row r="212">
      <c r="A212" s="300">
        <v>43111.0</v>
      </c>
      <c r="B212" s="301" t="s">
        <v>1123</v>
      </c>
      <c r="C212" s="302">
        <v>-2.01</v>
      </c>
      <c r="D212" s="199" t="s">
        <v>193</v>
      </c>
      <c r="E212" s="199" t="s">
        <v>737</v>
      </c>
    </row>
    <row r="213">
      <c r="A213" s="300">
        <v>43111.0</v>
      </c>
      <c r="B213" s="301" t="s">
        <v>1125</v>
      </c>
      <c r="C213" s="302">
        <v>-2.39</v>
      </c>
      <c r="D213" s="199" t="s">
        <v>193</v>
      </c>
      <c r="E213" s="199" t="s">
        <v>737</v>
      </c>
    </row>
    <row r="214">
      <c r="A214" s="300">
        <v>43109.0</v>
      </c>
      <c r="B214" s="301" t="s">
        <v>1126</v>
      </c>
      <c r="C214" s="302">
        <v>-3.19</v>
      </c>
      <c r="D214" s="199" t="s">
        <v>193</v>
      </c>
      <c r="E214" s="199" t="s">
        <v>737</v>
      </c>
    </row>
    <row r="215">
      <c r="A215" s="300">
        <v>43109.0</v>
      </c>
      <c r="B215" s="301" t="s">
        <v>1126</v>
      </c>
      <c r="C215" s="302">
        <v>-2.94</v>
      </c>
      <c r="D215" s="199" t="s">
        <v>193</v>
      </c>
      <c r="E215" s="199" t="s">
        <v>737</v>
      </c>
    </row>
    <row r="216">
      <c r="A216" s="300">
        <v>43109.0</v>
      </c>
      <c r="B216" s="301" t="s">
        <v>1126</v>
      </c>
      <c r="C216" s="302">
        <v>-1.13</v>
      </c>
      <c r="D216" s="199" t="s">
        <v>193</v>
      </c>
      <c r="E216" s="199" t="s">
        <v>737</v>
      </c>
    </row>
    <row r="217">
      <c r="A217" s="300">
        <v>43108.0</v>
      </c>
      <c r="B217" s="301" t="s">
        <v>1127</v>
      </c>
      <c r="C217" s="302">
        <v>-3.95</v>
      </c>
      <c r="D217" s="199" t="s">
        <v>941</v>
      </c>
      <c r="E217" s="199" t="s">
        <v>737</v>
      </c>
    </row>
    <row r="218">
      <c r="A218" s="300">
        <v>43107.0</v>
      </c>
      <c r="B218" s="301" t="s">
        <v>1128</v>
      </c>
      <c r="C218" s="302">
        <v>-7.37</v>
      </c>
      <c r="D218" s="199" t="s">
        <v>193</v>
      </c>
      <c r="E218" s="199" t="s">
        <v>737</v>
      </c>
    </row>
    <row r="219">
      <c r="A219" s="7">
        <v>43105.0</v>
      </c>
      <c r="B219" s="126" t="s">
        <v>963</v>
      </c>
      <c r="C219" s="196">
        <v>207.0</v>
      </c>
      <c r="D219" s="196" t="s">
        <v>941</v>
      </c>
      <c r="E219" s="196"/>
    </row>
    <row r="220">
      <c r="A220" s="7">
        <v>43105.0</v>
      </c>
      <c r="B220" s="197" t="s">
        <v>1129</v>
      </c>
      <c r="C220" s="199">
        <v>40.0</v>
      </c>
      <c r="D220" s="196" t="s">
        <v>941</v>
      </c>
      <c r="E220" s="196"/>
    </row>
    <row r="221">
      <c r="A221" s="7">
        <v>43105.0</v>
      </c>
      <c r="B221" s="197" t="s">
        <v>997</v>
      </c>
      <c r="C221" s="199">
        <v>890.0</v>
      </c>
      <c r="D221" s="196" t="s">
        <v>941</v>
      </c>
      <c r="E221" s="196"/>
    </row>
    <row r="222">
      <c r="A222" s="7">
        <v>43105.0</v>
      </c>
      <c r="B222" s="197" t="s">
        <v>1085</v>
      </c>
      <c r="C222" s="199">
        <v>700.0</v>
      </c>
      <c r="D222" s="196" t="s">
        <v>941</v>
      </c>
      <c r="E222" s="196"/>
    </row>
    <row r="223">
      <c r="A223" s="300">
        <v>43104.0</v>
      </c>
      <c r="B223" s="301" t="s">
        <v>1108</v>
      </c>
      <c r="C223" s="302">
        <v>-3.8</v>
      </c>
      <c r="D223" s="199" t="s">
        <v>193</v>
      </c>
      <c r="E223" s="199" t="s">
        <v>737</v>
      </c>
    </row>
    <row r="224">
      <c r="A224" s="300">
        <v>43104.0</v>
      </c>
      <c r="B224" s="331" t="s">
        <v>991</v>
      </c>
      <c r="C224" s="302">
        <v>-30000.0</v>
      </c>
      <c r="D224" s="196" t="s">
        <v>941</v>
      </c>
      <c r="E224" s="199"/>
    </row>
    <row r="225">
      <c r="A225" s="300">
        <v>43103.0</v>
      </c>
      <c r="B225" s="331" t="s">
        <v>1130</v>
      </c>
      <c r="C225" s="302">
        <v>5000.0</v>
      </c>
      <c r="D225" s="196" t="s">
        <v>941</v>
      </c>
      <c r="E225" s="199"/>
    </row>
    <row r="226">
      <c r="A226" s="300">
        <v>43103.0</v>
      </c>
      <c r="B226" s="331" t="s">
        <v>1131</v>
      </c>
      <c r="C226" s="302">
        <v>505.92</v>
      </c>
      <c r="D226" s="196" t="s">
        <v>941</v>
      </c>
      <c r="E226" s="199"/>
    </row>
    <row r="227">
      <c r="A227" s="300">
        <v>43102.0</v>
      </c>
      <c r="B227" s="331" t="s">
        <v>1132</v>
      </c>
      <c r="C227" s="302">
        <v>400.0</v>
      </c>
      <c r="D227" s="199" t="s">
        <v>193</v>
      </c>
      <c r="E227" s="199"/>
    </row>
    <row r="228">
      <c r="A228" s="300">
        <v>43102.0</v>
      </c>
      <c r="B228" s="331" t="s">
        <v>1130</v>
      </c>
      <c r="C228" s="302">
        <v>25000.0</v>
      </c>
      <c r="D228" s="196" t="s">
        <v>941</v>
      </c>
      <c r="E228" s="199"/>
    </row>
    <row r="229">
      <c r="A229" s="300">
        <v>43096.0</v>
      </c>
      <c r="B229" s="331" t="s">
        <v>970</v>
      </c>
      <c r="C229" s="302">
        <v>-259.0</v>
      </c>
      <c r="D229" s="196" t="s">
        <v>941</v>
      </c>
      <c r="E229" s="199"/>
    </row>
    <row r="230">
      <c r="A230" s="300">
        <v>43088.0</v>
      </c>
      <c r="B230" s="331" t="s">
        <v>1133</v>
      </c>
      <c r="C230" s="302">
        <v>110.0</v>
      </c>
      <c r="D230" s="196" t="s">
        <v>941</v>
      </c>
      <c r="E230" s="199"/>
    </row>
    <row r="231">
      <c r="A231" s="300">
        <v>43083.0</v>
      </c>
      <c r="B231" s="331" t="s">
        <v>1134</v>
      </c>
      <c r="C231" s="302">
        <v>-6.05</v>
      </c>
      <c r="D231" s="199" t="s">
        <v>193</v>
      </c>
      <c r="E231" s="199" t="s">
        <v>737</v>
      </c>
    </row>
    <row r="232">
      <c r="A232" s="300">
        <v>43083.0</v>
      </c>
      <c r="B232" s="331" t="s">
        <v>1135</v>
      </c>
      <c r="C232" s="302">
        <v>-9.35</v>
      </c>
      <c r="D232" s="199" t="s">
        <v>193</v>
      </c>
      <c r="E232" s="199" t="s">
        <v>737</v>
      </c>
    </row>
    <row r="233">
      <c r="A233" s="300">
        <v>43083.0</v>
      </c>
      <c r="B233" s="331" t="s">
        <v>1131</v>
      </c>
      <c r="C233" s="302">
        <v>152.45</v>
      </c>
      <c r="D233" s="196" t="s">
        <v>941</v>
      </c>
      <c r="E233" s="199"/>
    </row>
    <row r="234">
      <c r="A234" s="300">
        <v>43080.0</v>
      </c>
      <c r="B234" s="331" t="s">
        <v>958</v>
      </c>
      <c r="C234" s="302">
        <v>-340.6</v>
      </c>
      <c r="D234" s="196" t="s">
        <v>941</v>
      </c>
      <c r="E234" s="199"/>
    </row>
    <row r="235">
      <c r="A235" s="7">
        <v>43080.0</v>
      </c>
      <c r="B235" s="10" t="s">
        <v>1126</v>
      </c>
      <c r="C235" s="199">
        <v>-1.32</v>
      </c>
      <c r="D235" s="199" t="s">
        <v>193</v>
      </c>
      <c r="E235" s="199" t="s">
        <v>737</v>
      </c>
    </row>
    <row r="236">
      <c r="A236" s="7">
        <v>43076.0</v>
      </c>
      <c r="B236" s="10" t="s">
        <v>1141</v>
      </c>
      <c r="C236" s="199">
        <v>35.1</v>
      </c>
      <c r="D236" s="196" t="s">
        <v>941</v>
      </c>
      <c r="E236" s="199"/>
    </row>
    <row r="237">
      <c r="A237" s="7">
        <v>43075.0</v>
      </c>
      <c r="B237" s="10" t="s">
        <v>1144</v>
      </c>
      <c r="C237" s="199">
        <v>700.0</v>
      </c>
      <c r="D237" s="196" t="s">
        <v>941</v>
      </c>
      <c r="E237" s="199"/>
    </row>
    <row r="238">
      <c r="A238" s="7">
        <v>43074.0</v>
      </c>
      <c r="B238" s="10" t="s">
        <v>963</v>
      </c>
      <c r="C238" s="199">
        <v>207.0</v>
      </c>
      <c r="D238" s="199" t="s">
        <v>941</v>
      </c>
      <c r="E238" s="199"/>
    </row>
    <row r="239">
      <c r="A239" s="7">
        <v>43074.0</v>
      </c>
      <c r="B239" s="10" t="s">
        <v>1148</v>
      </c>
      <c r="C239" s="199">
        <v>-101.0</v>
      </c>
      <c r="D239" s="199" t="s">
        <v>193</v>
      </c>
      <c r="E239" s="199" t="s">
        <v>737</v>
      </c>
    </row>
    <row r="240">
      <c r="A240" s="7">
        <v>43074.0</v>
      </c>
      <c r="B240" s="10" t="s">
        <v>997</v>
      </c>
      <c r="C240" s="199">
        <v>-890.0</v>
      </c>
      <c r="D240" s="196" t="s">
        <v>941</v>
      </c>
      <c r="E240" s="199"/>
    </row>
    <row r="241">
      <c r="A241" s="7">
        <v>43073.0</v>
      </c>
      <c r="B241" s="10" t="s">
        <v>999</v>
      </c>
      <c r="C241" s="199">
        <v>1.0</v>
      </c>
      <c r="D241" s="199" t="s">
        <v>193</v>
      </c>
      <c r="E241" s="199"/>
    </row>
    <row r="242">
      <c r="A242" s="7">
        <v>43073.0</v>
      </c>
      <c r="B242" s="10" t="s">
        <v>1151</v>
      </c>
      <c r="C242" s="199">
        <v>-38.0</v>
      </c>
      <c r="D242" s="199" t="s">
        <v>193</v>
      </c>
      <c r="E242" s="199" t="s">
        <v>737</v>
      </c>
    </row>
    <row r="243">
      <c r="A243" s="7">
        <v>43073.0</v>
      </c>
      <c r="B243" s="10" t="s">
        <v>999</v>
      </c>
      <c r="C243" s="199">
        <v>-1.0</v>
      </c>
      <c r="D243" s="199" t="s">
        <v>193</v>
      </c>
      <c r="E243" s="199"/>
    </row>
    <row r="244">
      <c r="A244" s="7">
        <v>43073.0</v>
      </c>
      <c r="B244" s="10" t="s">
        <v>1131</v>
      </c>
      <c r="C244" s="199">
        <v>489.6</v>
      </c>
      <c r="D244" s="196" t="s">
        <v>941</v>
      </c>
      <c r="E244" s="199"/>
    </row>
    <row r="245">
      <c r="A245" s="7">
        <v>43069.0</v>
      </c>
      <c r="B245" s="10" t="s">
        <v>1126</v>
      </c>
      <c r="C245" s="199">
        <v>-21.99</v>
      </c>
      <c r="D245" s="199" t="s">
        <v>193</v>
      </c>
      <c r="E245" s="199" t="s">
        <v>737</v>
      </c>
    </row>
    <row r="246">
      <c r="A246" s="7">
        <v>43068.0</v>
      </c>
      <c r="B246" s="10" t="s">
        <v>991</v>
      </c>
      <c r="C246" s="199">
        <v>-10000.0</v>
      </c>
      <c r="D246" s="196" t="s">
        <v>941</v>
      </c>
      <c r="E246" s="199"/>
    </row>
    <row r="247">
      <c r="A247" s="7">
        <v>43068.0</v>
      </c>
      <c r="B247" s="10" t="s">
        <v>1153</v>
      </c>
      <c r="C247" s="199">
        <v>10000.0</v>
      </c>
      <c r="D247" s="196" t="s">
        <v>941</v>
      </c>
      <c r="E247" s="199"/>
    </row>
    <row r="248">
      <c r="A248" s="7">
        <v>43067.0</v>
      </c>
      <c r="B248" s="10" t="s">
        <v>1154</v>
      </c>
      <c r="C248" s="199">
        <v>-989.01</v>
      </c>
      <c r="D248" s="196" t="s">
        <v>941</v>
      </c>
      <c r="E248" s="199"/>
    </row>
    <row r="249">
      <c r="A249" s="7">
        <v>43063.0</v>
      </c>
      <c r="B249" s="10" t="s">
        <v>1126</v>
      </c>
      <c r="C249" s="199">
        <v>-83.27</v>
      </c>
      <c r="D249" s="199" t="s">
        <v>193</v>
      </c>
      <c r="E249" s="199" t="s">
        <v>737</v>
      </c>
    </row>
    <row r="250">
      <c r="A250" s="7">
        <v>43061.0</v>
      </c>
      <c r="B250" s="10" t="s">
        <v>1156</v>
      </c>
      <c r="C250" s="199">
        <v>-5.3</v>
      </c>
      <c r="D250" s="199" t="s">
        <v>193</v>
      </c>
      <c r="E250" s="199" t="s">
        <v>737</v>
      </c>
    </row>
    <row r="251">
      <c r="A251" s="7">
        <v>43056.0</v>
      </c>
      <c r="B251" s="10" t="s">
        <v>1081</v>
      </c>
      <c r="C251" s="199">
        <v>-19.79</v>
      </c>
      <c r="D251" s="196" t="s">
        <v>941</v>
      </c>
      <c r="E251" s="199" t="s">
        <v>737</v>
      </c>
    </row>
    <row r="252">
      <c r="A252" s="7">
        <v>43055.0</v>
      </c>
      <c r="B252" s="10" t="s">
        <v>991</v>
      </c>
      <c r="C252" s="199">
        <v>-1000.0</v>
      </c>
      <c r="D252" s="196" t="s">
        <v>941</v>
      </c>
      <c r="E252" s="199"/>
    </row>
    <row r="253">
      <c r="A253" s="7">
        <v>43053.0</v>
      </c>
      <c r="B253" s="10" t="s">
        <v>1132</v>
      </c>
      <c r="C253" s="199">
        <v>1350.0</v>
      </c>
      <c r="D253" s="199" t="s">
        <v>193</v>
      </c>
      <c r="E253" s="199"/>
    </row>
    <row r="254">
      <c r="A254" s="7">
        <v>43053.0</v>
      </c>
      <c r="B254" s="10" t="s">
        <v>955</v>
      </c>
      <c r="C254" s="199">
        <v>-1000.0</v>
      </c>
      <c r="D254" s="199" t="s">
        <v>193</v>
      </c>
      <c r="E254" s="199"/>
    </row>
    <row r="255">
      <c r="A255" s="7">
        <v>43053.0</v>
      </c>
      <c r="B255" s="10" t="s">
        <v>1010</v>
      </c>
      <c r="C255" s="199">
        <v>1000.0</v>
      </c>
      <c r="D255" s="196" t="s">
        <v>941</v>
      </c>
      <c r="E255" s="199"/>
    </row>
    <row r="256">
      <c r="A256" s="7">
        <v>43052.0</v>
      </c>
      <c r="B256" s="10" t="s">
        <v>1157</v>
      </c>
      <c r="C256" s="199">
        <v>192.8</v>
      </c>
      <c r="D256" s="196" t="s">
        <v>941</v>
      </c>
      <c r="E256" s="199"/>
    </row>
    <row r="257">
      <c r="A257" s="7">
        <v>43049.0</v>
      </c>
      <c r="B257" s="10" t="s">
        <v>958</v>
      </c>
      <c r="C257" s="199">
        <v>-340.6</v>
      </c>
      <c r="D257" s="196" t="s">
        <v>941</v>
      </c>
      <c r="E257" s="199"/>
    </row>
    <row r="258">
      <c r="A258" s="7">
        <v>43048.0</v>
      </c>
      <c r="B258" s="10" t="s">
        <v>1158</v>
      </c>
      <c r="C258" s="199">
        <v>700.0</v>
      </c>
      <c r="D258" s="196" t="s">
        <v>941</v>
      </c>
      <c r="E258" s="199"/>
    </row>
    <row r="259">
      <c r="A259" s="7">
        <v>43045.0</v>
      </c>
      <c r="B259" s="10" t="s">
        <v>997</v>
      </c>
      <c r="C259" s="199">
        <v>-890.0</v>
      </c>
      <c r="D259" s="196" t="s">
        <v>941</v>
      </c>
      <c r="E259" s="199"/>
    </row>
    <row r="260">
      <c r="A260" s="7">
        <v>43041.0</v>
      </c>
      <c r="B260" s="10" t="s">
        <v>1131</v>
      </c>
      <c r="C260" s="199">
        <v>505.92</v>
      </c>
      <c r="D260" s="196" t="s">
        <v>941</v>
      </c>
      <c r="E260" s="199"/>
    </row>
  </sheetData>
  <autoFilter ref="$A$1:$E$260"/>
  <hyperlinks>
    <hyperlink r:id="rId1" ref="B201"/>
    <hyperlink r:id="rId2" ref="B223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346" t="s">
        <v>1175</v>
      </c>
    </row>
    <row r="2">
      <c r="A2" s="348" t="s">
        <v>1176</v>
      </c>
      <c r="B2" s="59">
        <f>Dashboard!$B32</f>
        <v>735824.974</v>
      </c>
    </row>
    <row r="3">
      <c r="A3" s="348" t="s">
        <v>1191</v>
      </c>
      <c r="B3" s="8">
        <f>Dashboard!$B33</f>
        <v>-507116.26</v>
      </c>
    </row>
    <row r="4">
      <c r="A4" s="349" t="s">
        <v>1192</v>
      </c>
      <c r="B4" s="59">
        <f>B2+B3</f>
        <v>228708.714</v>
      </c>
    </row>
    <row r="5">
      <c r="A5" s="348" t="s">
        <v>1193</v>
      </c>
      <c r="B5" s="8">
        <f>-B3+B4-B4*2</f>
        <v>278407.546</v>
      </c>
    </row>
    <row r="6">
      <c r="A6" s="350" t="s">
        <v>1194</v>
      </c>
      <c r="B6" s="351">
        <f>B4-B5</f>
        <v>-49698.832</v>
      </c>
    </row>
    <row r="7">
      <c r="A7" s="352" t="s">
        <v>1200</v>
      </c>
      <c r="B7" s="353"/>
    </row>
    <row r="8">
      <c r="A8" s="348" t="s">
        <v>1208</v>
      </c>
      <c r="B8" s="59">
        <f>B2*0.7</f>
        <v>515077.4818</v>
      </c>
    </row>
    <row r="9">
      <c r="A9" s="348" t="s">
        <v>1191</v>
      </c>
      <c r="B9" s="8">
        <f>B3</f>
        <v>-507116.26</v>
      </c>
    </row>
    <row r="10">
      <c r="A10" s="350" t="s">
        <v>1209</v>
      </c>
      <c r="B10" s="351">
        <f>B8+B9</f>
        <v>7961.2218</v>
      </c>
    </row>
    <row r="11">
      <c r="A11" s="354" t="s">
        <v>1210</v>
      </c>
      <c r="B11" s="355">
        <f>B10</f>
        <v>7961.2218</v>
      </c>
    </row>
    <row r="12">
      <c r="A12" s="350" t="s">
        <v>1223</v>
      </c>
      <c r="B12" s="356">
        <v>525000.0</v>
      </c>
    </row>
    <row r="13">
      <c r="A13" s="350" t="s">
        <v>1224</v>
      </c>
      <c r="B13" s="357">
        <f>FLOOR((MAX(MAX($B$6,$B$10)-$B$3+$B$3/200,$B$4*2.3)+Dashboard!$B$23+Dashboard!$B$54+Investment!$AS$7)/1000)*1000</f>
        <v>526000</v>
      </c>
    </row>
    <row r="14">
      <c r="A14" s="350" t="s">
        <v>1225</v>
      </c>
      <c r="B14" s="356"/>
    </row>
    <row r="15">
      <c r="A15" s="354" t="s">
        <v>1226</v>
      </c>
      <c r="B15" s="168">
        <f>FLOOR((MAX(MAX($B$6,$B$10)-$B$3+$B$3/200,$B$16*2.3)+Dashboard!$B$23+Dashboard!$B$54+Investment!$AS$7)/1000)*1000</f>
        <v>525000</v>
      </c>
    </row>
    <row r="16">
      <c r="A16" s="350" t="s">
        <v>1238</v>
      </c>
      <c r="B16" s="356">
        <f>Dashboard!$B$44+AVERAGEIFS(Evolution!$G:$G,Evolution!$A:$A,"&gt;"&amp;EOMONTH(TODAY(),-1),Evolution!$A:$A,"&lt;="&amp;EOMONTH(TODAY(),0)+1)</f>
        <v>228532.3122</v>
      </c>
    </row>
    <row r="17">
      <c r="A17" s="350" t="s">
        <v>1242</v>
      </c>
      <c r="B17" s="356">
        <f>$B$16-Dashboard!$B$44</f>
        <v>5950.462158</v>
      </c>
    </row>
    <row r="18">
      <c r="A18" s="350" t="s">
        <v>1243</v>
      </c>
      <c r="B18" s="356">
        <f>($B$12-$B$15)*Dashboard!$B$53/12</f>
        <v>0</v>
      </c>
    </row>
  </sheetData>
  <mergeCells count="2">
    <mergeCell ref="A7:B7"/>
    <mergeCell ref="A1:B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4" width="12.0"/>
    <col customWidth="1" min="5" max="5" width="8.43"/>
    <col customWidth="1" min="6" max="6" width="8.86"/>
    <col customWidth="1" min="7" max="7" width="8.43"/>
    <col customWidth="1" min="8" max="8" width="6.86"/>
    <col customWidth="1" min="9" max="11" width="10.57"/>
  </cols>
  <sheetData>
    <row r="1">
      <c r="A1" s="19" t="s">
        <v>27</v>
      </c>
      <c r="B1" s="17" t="s">
        <v>1260</v>
      </c>
      <c r="C1" s="19" t="s">
        <v>1261</v>
      </c>
      <c r="D1" s="17" t="s">
        <v>255</v>
      </c>
      <c r="E1" s="17" t="s">
        <v>1262</v>
      </c>
      <c r="F1" s="17" t="s">
        <v>1263</v>
      </c>
      <c r="G1" s="19" t="s">
        <v>17</v>
      </c>
      <c r="H1" s="17" t="s">
        <v>1262</v>
      </c>
      <c r="I1" s="17" t="s">
        <v>85</v>
      </c>
      <c r="J1" s="17" t="s">
        <v>1264</v>
      </c>
      <c r="K1" s="17" t="s">
        <v>1262</v>
      </c>
    </row>
    <row r="2">
      <c r="A2" s="7">
        <v>43466.0</v>
      </c>
      <c r="B2" s="199">
        <v>223230.03645530733</v>
      </c>
      <c r="C2" s="199">
        <v>525000.0</v>
      </c>
      <c r="D2" s="199">
        <v>748230.0364553074</v>
      </c>
      <c r="E2" s="368">
        <v>2.351834046782095</v>
      </c>
      <c r="F2" s="199">
        <v>-534.6875</v>
      </c>
      <c r="G2" s="199">
        <f>MIN($F2,MINIFS(Historic!$G:$G,Historic!$D:$D,"COST",Historic!$B:$B,"",Historic!$A:$A,"&gt;=" &amp; DATE(YEAR($A2),MONTH($A2)+1,1),Historic!$A:$A,"&lt;" &amp; DATE(YEAR($A2),MONTH($A2)+2,1)))</f>
        <v>-534.6875</v>
      </c>
      <c r="H2" s="33">
        <f t="shared" ref="H2:H3" si="1">-G2/C2</f>
        <v>0.001018452381</v>
      </c>
      <c r="I2" s="199">
        <f>SUMIFS(Historic!G:G,Historic!D:D,"=DIVIDEND",Historic!B:B,"&lt;&gt;",Historic!A:A,"&gt;=" &amp; $A2,Historic!A:A,"&lt;=" &amp; EOMONTH($A2,0))</f>
        <v>0</v>
      </c>
      <c r="J2" s="199">
        <f t="shared" ref="J2:J3" si="2">(SUM(OFFSET($I2,0,0,12,1))+SUM(OFFSET($G2,0,0,12,1)))/AVERAGE(OFFSET($B2,0,0,12,1))*$B2/MIN(ROWS(J:J)-ROW()+1,12)</f>
        <v>674.7834796</v>
      </c>
      <c r="K2" s="368">
        <f t="shared" ref="K2:K3" si="3">J2/B2*12</f>
        <v>0.03627380026</v>
      </c>
    </row>
    <row r="3">
      <c r="A3" s="7">
        <v>43435.0</v>
      </c>
      <c r="B3" s="199">
        <v>236596.5447133261</v>
      </c>
      <c r="C3" s="199">
        <v>531000.0</v>
      </c>
      <c r="D3" s="199">
        <v>767596.544713326</v>
      </c>
      <c r="E3" s="368">
        <v>2.2443269433346544</v>
      </c>
      <c r="F3" s="199">
        <v>-560.7986111111111</v>
      </c>
      <c r="G3" s="199">
        <f>MIN($F3,MINIFS(Historic!$G:$G,Historic!$D:$D,"COST",Historic!$B:$B,"",Historic!$A:$A,"&gt;=" &amp; DATE(YEAR($A3),MONTH($A3)+1,1),Historic!$A:$A,"&lt;" &amp; DATE(YEAR($A3),MONTH($A3)+2,1)))</f>
        <v>-560.7986111</v>
      </c>
      <c r="H3" s="33">
        <f t="shared" si="1"/>
        <v>0.001056117912</v>
      </c>
      <c r="I3" s="199">
        <f>SUMIFS(Historic!G:G,Historic!D:D,"=DIVIDEND",Historic!B:B,"&lt;&gt;",Historic!A:A,"&gt;=" &amp; $A3,Historic!A:A,"&lt;=" &amp; EOMONTH($A3,0))</f>
        <v>4248.66</v>
      </c>
      <c r="J3" s="199">
        <f t="shared" si="2"/>
        <v>928.115964</v>
      </c>
      <c r="K3" s="368">
        <f t="shared" si="3"/>
        <v>0.04707334835</v>
      </c>
    </row>
    <row r="4">
      <c r="A4" s="7">
        <v>43405.0</v>
      </c>
      <c r="B4" s="199">
        <v>229854.74</v>
      </c>
      <c r="C4" s="199">
        <v>521000.0</v>
      </c>
      <c r="D4" s="199">
        <v>750854.74</v>
      </c>
      <c r="E4" s="368">
        <v>2.266648927927264</v>
      </c>
      <c r="F4" s="199">
        <v>-542.7083333333334</v>
      </c>
      <c r="G4" s="199">
        <v>-579.07</v>
      </c>
      <c r="H4" s="33">
        <v>0.0011114587332053743</v>
      </c>
      <c r="I4" s="199">
        <v>1458.27</v>
      </c>
      <c r="J4" s="199">
        <v>458.0070895036918</v>
      </c>
      <c r="K4" s="368">
        <v>0.023911123494970352</v>
      </c>
    </row>
    <row r="5">
      <c r="A5" s="7">
        <v>43374.0</v>
      </c>
      <c r="B5" s="199">
        <v>229610.39999999985</v>
      </c>
      <c r="C5" s="199">
        <v>515000.0</v>
      </c>
      <c r="D5" s="199">
        <v>744610.3999999999</v>
      </c>
      <c r="E5" s="368">
        <v>2.2429297627633606</v>
      </c>
      <c r="F5" s="199">
        <v>-554.3402777777777</v>
      </c>
      <c r="G5" s="199">
        <v>-555.0</v>
      </c>
      <c r="H5" s="33">
        <v>0.0010776699029126213</v>
      </c>
      <c r="I5" s="199">
        <v>888.6500000000001</v>
      </c>
      <c r="J5" s="199">
        <v>361.04123096465014</v>
      </c>
      <c r="K5" s="368">
        <v>0.018868896058609735</v>
      </c>
    </row>
    <row r="6">
      <c r="A6" s="7">
        <v>43344.0</v>
      </c>
      <c r="B6" s="199">
        <v>239456.07999999984</v>
      </c>
      <c r="C6" s="199">
        <v>515000.0</v>
      </c>
      <c r="D6" s="199">
        <v>753956.0799999998</v>
      </c>
      <c r="E6" s="368">
        <v>2.148619487966229</v>
      </c>
      <c r="F6" s="199">
        <v>-536.4583333333333</v>
      </c>
      <c r="G6" s="199">
        <v>-501.62</v>
      </c>
      <c r="H6" s="33">
        <v>9.740194174757282E-4</v>
      </c>
      <c r="I6" s="199">
        <v>78.54</v>
      </c>
      <c r="J6" s="199">
        <v>441.99497229303046</v>
      </c>
      <c r="K6" s="368">
        <v>0.02214994777963612</v>
      </c>
    </row>
    <row r="7">
      <c r="A7" s="7">
        <v>43313.0</v>
      </c>
      <c r="B7" s="199">
        <v>223621.02000000002</v>
      </c>
      <c r="C7" s="199">
        <v>481000.0</v>
      </c>
      <c r="D7" s="199">
        <v>704621.02</v>
      </c>
      <c r="E7" s="368">
        <v>2.150960585011194</v>
      </c>
      <c r="F7" s="199">
        <v>-517.7430555555555</v>
      </c>
      <c r="G7" s="199">
        <v>-573.99</v>
      </c>
      <c r="H7" s="33">
        <v>0.0011933264033264033</v>
      </c>
      <c r="I7" s="199">
        <v>0.0</v>
      </c>
      <c r="J7" s="199">
        <v>568.0472649199711</v>
      </c>
      <c r="K7" s="368">
        <v>0.030482676355915256</v>
      </c>
    </row>
    <row r="8">
      <c r="A8" s="7">
        <v>43282.0</v>
      </c>
      <c r="B8" s="199">
        <v>116785.25000000003</v>
      </c>
      <c r="C8" s="199">
        <v>445000.0</v>
      </c>
      <c r="D8" s="199">
        <v>561785.25</v>
      </c>
      <c r="E8" s="368">
        <v>3.8104127019465204</v>
      </c>
      <c r="F8" s="199">
        <v>-478.99305555555554</v>
      </c>
      <c r="G8" s="199">
        <v>-467.55</v>
      </c>
      <c r="H8" s="33">
        <v>0.0010506741573033708</v>
      </c>
      <c r="I8" s="199">
        <v>428.28999999999996</v>
      </c>
      <c r="J8" s="199">
        <v>429.5747606574342</v>
      </c>
      <c r="K8" s="368">
        <v>0.04413996740075659</v>
      </c>
    </row>
    <row r="9">
      <c r="A9" s="7">
        <v>43252.0</v>
      </c>
      <c r="B9" s="199">
        <v>91261.22</v>
      </c>
      <c r="C9" s="199">
        <v>255000.0</v>
      </c>
      <c r="D9" s="199">
        <v>346261.22</v>
      </c>
      <c r="E9" s="368">
        <v>2.7941769790059787</v>
      </c>
      <c r="F9" s="199">
        <v>-265.625</v>
      </c>
      <c r="G9" s="199">
        <v>-276.19</v>
      </c>
      <c r="H9" s="33">
        <v>0.0010830980392156863</v>
      </c>
      <c r="I9" s="199">
        <v>2488.6299999999997</v>
      </c>
      <c r="J9" s="199">
        <v>393.0486273694962</v>
      </c>
      <c r="K9" s="368">
        <v>0.05168223182238803</v>
      </c>
    </row>
    <row r="10">
      <c r="A10" s="7">
        <v>43221.0</v>
      </c>
      <c r="B10" s="199">
        <v>81413.37101445564</v>
      </c>
      <c r="C10" s="199">
        <v>150000.0</v>
      </c>
      <c r="D10" s="199">
        <v>231413.37101445562</v>
      </c>
      <c r="E10" s="368">
        <v>1.8424491963779048</v>
      </c>
      <c r="F10" s="199">
        <v>-161.45833333333331</v>
      </c>
      <c r="G10" s="199">
        <v>-161.46</v>
      </c>
      <c r="H10" s="33">
        <v>0.0010764000000000001</v>
      </c>
      <c r="I10" s="199">
        <v>35.480000000000004</v>
      </c>
      <c r="J10" s="199">
        <v>135.8825507542601</v>
      </c>
      <c r="K10" s="368">
        <v>0.020028535715117313</v>
      </c>
    </row>
    <row r="11">
      <c r="A11" s="7">
        <v>43191.0</v>
      </c>
      <c r="B11" s="199">
        <v>76953.15097666671</v>
      </c>
      <c r="C11" s="199">
        <v>140000.0</v>
      </c>
      <c r="D11" s="199">
        <v>216953.15097666671</v>
      </c>
      <c r="E11" s="368">
        <v>1.819288725973677</v>
      </c>
      <c r="F11" s="199">
        <v>-145.83333333333331</v>
      </c>
      <c r="G11" s="199">
        <v>-140.97</v>
      </c>
      <c r="H11" s="33">
        <v>0.0010069285714285714</v>
      </c>
      <c r="I11" s="199">
        <v>377.32</v>
      </c>
      <c r="J11" s="199">
        <v>146.02126277220364</v>
      </c>
      <c r="K11" s="368">
        <v>0.0227704146097637</v>
      </c>
    </row>
    <row r="12">
      <c r="A12" s="7">
        <v>43160.0</v>
      </c>
      <c r="B12" s="199">
        <v>79132.53932640009</v>
      </c>
      <c r="C12" s="199">
        <v>140000.0</v>
      </c>
      <c r="D12" s="199">
        <v>219132.5393264001</v>
      </c>
      <c r="E12" s="368">
        <v>1.7691837162275088</v>
      </c>
      <c r="F12" s="199">
        <v>-150.69444444444443</v>
      </c>
      <c r="G12" s="199">
        <v>-155.56</v>
      </c>
      <c r="H12" s="33">
        <v>0.0011112142857142857</v>
      </c>
      <c r="I12" s="199">
        <v>417.15999999999997</v>
      </c>
      <c r="J12" s="199">
        <v>139.95048428129923</v>
      </c>
      <c r="K12" s="368">
        <v>0.021222695817311017</v>
      </c>
    </row>
    <row r="13">
      <c r="A13" s="7">
        <v>43132.0</v>
      </c>
      <c r="B13" s="199">
        <v>83747.67804470006</v>
      </c>
      <c r="C13" s="199">
        <v>171000.0</v>
      </c>
      <c r="D13" s="199">
        <v>258747.67804470006</v>
      </c>
      <c r="E13" s="368">
        <v>2.041847654674429</v>
      </c>
      <c r="F13" s="199">
        <v>-166.25</v>
      </c>
      <c r="G13" s="199">
        <v>-166.36</v>
      </c>
      <c r="H13" s="33">
        <v>9.728654970760235E-4</v>
      </c>
      <c r="I13" s="199">
        <v>30.860000000000003</v>
      </c>
      <c r="J13" s="199">
        <v>121.83069305710258</v>
      </c>
      <c r="K13" s="368">
        <v>0.01745682209726352</v>
      </c>
    </row>
    <row r="14">
      <c r="A14" s="7">
        <v>43101.0</v>
      </c>
      <c r="B14" s="199">
        <v>90032.03273433335</v>
      </c>
      <c r="C14" s="199">
        <v>180000.0</v>
      </c>
      <c r="D14" s="199">
        <v>270032.03273433336</v>
      </c>
      <c r="E14" s="368">
        <v>1.9992884147261705</v>
      </c>
      <c r="F14" s="199">
        <v>-193.75</v>
      </c>
      <c r="G14" s="199">
        <v>-193.75</v>
      </c>
      <c r="H14" s="33">
        <v>0.0010763888888888889</v>
      </c>
      <c r="I14" s="199">
        <v>856.9799999999999</v>
      </c>
      <c r="J14" s="199">
        <v>160.93452517399663</v>
      </c>
      <c r="K14" s="368">
        <v>0.02145030211398858</v>
      </c>
    </row>
    <row r="15">
      <c r="A15" s="7">
        <v>43070.0</v>
      </c>
      <c r="B15" s="199">
        <v>58509.01246879999</v>
      </c>
      <c r="C15" s="199">
        <v>118000.0</v>
      </c>
      <c r="D15" s="199">
        <v>178013.20538906666</v>
      </c>
      <c r="E15" s="368">
        <v>1.966233918601813</v>
      </c>
      <c r="F15" s="199">
        <v>-127.01388888888889</v>
      </c>
      <c r="G15" s="199">
        <v>-127.19</v>
      </c>
      <c r="H15" s="33">
        <v>0.0010778813559322034</v>
      </c>
      <c r="I15" s="199">
        <v>27.43</v>
      </c>
      <c r="J15" s="199">
        <v>67.68698794591738</v>
      </c>
      <c r="K15" s="368">
        <v>0.013882371639482697</v>
      </c>
    </row>
    <row r="16">
      <c r="A16" s="7">
        <v>43040.0</v>
      </c>
      <c r="B16" s="199">
        <v>49101.30747262751</v>
      </c>
      <c r="C16" s="199">
        <v>98000.0</v>
      </c>
      <c r="D16" s="199">
        <v>147101.3074726275</v>
      </c>
      <c r="E16" s="368">
        <v>1.9958735325863173</v>
      </c>
      <c r="F16" s="199">
        <v>-102.08333333333333</v>
      </c>
      <c r="G16" s="199">
        <v>-102.08333333333333</v>
      </c>
      <c r="H16" s="33">
        <v>0.0010416666666666667</v>
      </c>
      <c r="I16" s="199">
        <v>24.61</v>
      </c>
      <c r="J16" s="199">
        <v>78.73495398286077</v>
      </c>
      <c r="K16" s="368">
        <v>0.01924224621352573</v>
      </c>
    </row>
    <row r="17">
      <c r="A17" s="7">
        <v>43009.0</v>
      </c>
      <c r="B17" s="199">
        <v>49439.47</v>
      </c>
      <c r="C17" s="199">
        <v>90000.0</v>
      </c>
      <c r="D17" s="199">
        <v>139439.47</v>
      </c>
      <c r="E17" s="368">
        <v>1.8204078644046953</v>
      </c>
      <c r="F17" s="199">
        <v>-96.875</v>
      </c>
      <c r="G17" s="199">
        <v>-93.75</v>
      </c>
      <c r="H17" s="33">
        <v>0.0010416666666666667</v>
      </c>
      <c r="I17" s="199">
        <v>482.99</v>
      </c>
      <c r="J17" s="199">
        <v>87.64207762646127</v>
      </c>
      <c r="K17" s="368">
        <v>0.021272576981863585</v>
      </c>
    </row>
    <row r="18">
      <c r="A18" s="7">
        <v>42979.0</v>
      </c>
      <c r="B18" s="199">
        <v>40966.35</v>
      </c>
      <c r="C18" s="199">
        <v>80000.0</v>
      </c>
      <c r="D18" s="199">
        <v>120966.35</v>
      </c>
      <c r="E18" s="368">
        <v>1.952822255338833</v>
      </c>
      <c r="F18" s="199">
        <v>-83.33333333333333</v>
      </c>
      <c r="G18" s="199">
        <v>-86.11</v>
      </c>
      <c r="H18" s="33">
        <v>0.001076375</v>
      </c>
      <c r="I18" s="199">
        <v>19.49</v>
      </c>
      <c r="J18" s="199">
        <v>43.13848435357909</v>
      </c>
      <c r="K18" s="368">
        <v>0.012636268846088292</v>
      </c>
    </row>
    <row r="19">
      <c r="A19" s="7">
        <v>42948.0</v>
      </c>
      <c r="B19" s="199">
        <v>40965.55</v>
      </c>
      <c r="C19" s="199">
        <v>73300.0</v>
      </c>
      <c r="D19" s="199">
        <v>114265.55</v>
      </c>
      <c r="E19" s="368">
        <v>1.7893083334655582</v>
      </c>
      <c r="F19" s="199">
        <v>-78.89930555555556</v>
      </c>
      <c r="G19" s="199">
        <v>-78.9</v>
      </c>
      <c r="H19" s="33">
        <v>0.0010763983628922238</v>
      </c>
      <c r="I19" s="199">
        <v>17.77</v>
      </c>
      <c r="J19" s="199">
        <v>57.35041746484179</v>
      </c>
      <c r="K19" s="368">
        <v>0.016799603803149266</v>
      </c>
    </row>
    <row r="20">
      <c r="A20" s="7">
        <v>42917.0</v>
      </c>
      <c r="B20" s="199">
        <v>40960.78</v>
      </c>
      <c r="C20" s="199">
        <v>66200.0</v>
      </c>
      <c r="D20" s="199">
        <v>107160.78</v>
      </c>
      <c r="E20" s="368">
        <v>1.6161801606317068</v>
      </c>
      <c r="F20" s="199">
        <v>-71.25694444444444</v>
      </c>
      <c r="G20" s="199">
        <v>-66.68</v>
      </c>
      <c r="H20" s="33">
        <v>0.0010072507552870093</v>
      </c>
      <c r="I20" s="199">
        <v>240.32</v>
      </c>
      <c r="J20" s="199">
        <v>62.05472633581516</v>
      </c>
      <c r="K20" s="368">
        <v>0.018179749409795956</v>
      </c>
    </row>
    <row r="21">
      <c r="A21" s="7">
        <v>42887.0</v>
      </c>
      <c r="B21" s="199">
        <v>41914.73</v>
      </c>
      <c r="C21" s="199">
        <v>49800.0</v>
      </c>
      <c r="D21" s="199">
        <v>91714.73000000001</v>
      </c>
      <c r="E21" s="368">
        <v>1.1881264653261514</v>
      </c>
      <c r="F21" s="199">
        <v>-51.875</v>
      </c>
      <c r="G21" s="199">
        <v>-55.33</v>
      </c>
      <c r="H21" s="33">
        <v>0.0011110441767068272</v>
      </c>
      <c r="I21" s="199">
        <v>121.37</v>
      </c>
      <c r="J21" s="199">
        <v>49.80419242555964</v>
      </c>
      <c r="K21" s="368">
        <v>0.014258717856627388</v>
      </c>
    </row>
    <row r="22">
      <c r="A22" s="7">
        <v>42856.0</v>
      </c>
      <c r="B22" s="199">
        <v>43356.53</v>
      </c>
      <c r="C22" s="199">
        <v>28500.0</v>
      </c>
      <c r="D22" s="199">
        <v>71856.53</v>
      </c>
      <c r="E22" s="368">
        <v>0.6573404283045714</v>
      </c>
      <c r="F22" s="199">
        <v>-30.677083333333336</v>
      </c>
      <c r="G22" s="199">
        <v>-30.68</v>
      </c>
      <c r="H22" s="33">
        <v>0.0010764912280701753</v>
      </c>
      <c r="I22" s="199">
        <v>0.0</v>
      </c>
      <c r="J22" s="199">
        <v>53.089054144691666</v>
      </c>
      <c r="K22" s="368">
        <v>0.014693718564107873</v>
      </c>
    </row>
    <row r="23">
      <c r="A23" s="7">
        <v>42826.0</v>
      </c>
      <c r="B23" s="199">
        <v>45582.35</v>
      </c>
      <c r="C23" s="199">
        <v>0.0</v>
      </c>
      <c r="D23" s="199">
        <v>45582.35</v>
      </c>
      <c r="E23" s="368">
        <v>0.0</v>
      </c>
      <c r="F23" s="199">
        <v>0.0</v>
      </c>
      <c r="G23" s="199">
        <v>0.0</v>
      </c>
      <c r="H23" s="33">
        <v>0.0</v>
      </c>
      <c r="I23" s="199">
        <v>91.22</v>
      </c>
      <c r="J23" s="199">
        <v>58.70976648535805</v>
      </c>
      <c r="K23" s="368">
        <v>0.015455920939229695</v>
      </c>
    </row>
    <row r="24">
      <c r="A24" s="7">
        <v>42795.0</v>
      </c>
      <c r="B24" s="199">
        <v>45577.85</v>
      </c>
      <c r="C24" s="199">
        <v>0.0</v>
      </c>
      <c r="D24" s="199">
        <v>45577.85</v>
      </c>
      <c r="E24" s="368">
        <v>0.0</v>
      </c>
      <c r="F24" s="199">
        <v>0.0</v>
      </c>
      <c r="G24" s="199">
        <v>0.0</v>
      </c>
      <c r="H24" s="33">
        <v>0.0</v>
      </c>
      <c r="I24" s="199">
        <v>4.5</v>
      </c>
      <c r="J24" s="199">
        <v>51.927671055081504</v>
      </c>
      <c r="K24" s="368">
        <v>0.013671817618886762</v>
      </c>
    </row>
    <row r="25">
      <c r="A25" s="7">
        <v>42767.0</v>
      </c>
      <c r="B25" s="199">
        <v>44957.27</v>
      </c>
      <c r="C25" s="199">
        <v>0.0</v>
      </c>
      <c r="D25" s="199">
        <v>44957.27</v>
      </c>
      <c r="E25" s="368">
        <v>0.0</v>
      </c>
      <c r="F25" s="199">
        <v>0.0</v>
      </c>
      <c r="G25" s="199">
        <v>0.0</v>
      </c>
      <c r="H25" s="33">
        <v>0.0</v>
      </c>
      <c r="I25" s="199">
        <v>4.87</v>
      </c>
      <c r="J25" s="199">
        <v>57.41509292415666</v>
      </c>
      <c r="K25" s="368">
        <v>0.015325243616658216</v>
      </c>
    </row>
    <row r="26">
      <c r="A26" s="7">
        <v>42736.0</v>
      </c>
      <c r="B26" s="199">
        <v>44719.59</v>
      </c>
      <c r="C26" s="199">
        <v>0.0</v>
      </c>
      <c r="D26" s="199">
        <v>44719.59</v>
      </c>
      <c r="E26" s="368">
        <v>0.0</v>
      </c>
      <c r="F26" s="199">
        <v>0.0</v>
      </c>
      <c r="G26" s="199">
        <v>0.0</v>
      </c>
      <c r="H26" s="33">
        <v>0.0</v>
      </c>
      <c r="I26" s="199">
        <v>237.85999999999999</v>
      </c>
      <c r="J26" s="199">
        <v>57.67895225361349</v>
      </c>
      <c r="K26" s="368">
        <v>0.015477499392176046</v>
      </c>
    </row>
    <row r="27">
      <c r="A27" s="7">
        <v>42705.0</v>
      </c>
      <c r="B27" s="199">
        <v>44597.759999999995</v>
      </c>
      <c r="C27" s="199">
        <v>0.0</v>
      </c>
      <c r="D27" s="199">
        <v>44597.759999999995</v>
      </c>
      <c r="E27" s="368">
        <v>0.0</v>
      </c>
      <c r="F27" s="199">
        <v>0.0</v>
      </c>
      <c r="G27" s="199">
        <v>0.0</v>
      </c>
      <c r="H27" s="33">
        <v>0.0</v>
      </c>
      <c r="I27" s="199">
        <v>121.82999999999998</v>
      </c>
      <c r="J27" s="199">
        <v>53.57200017059943</v>
      </c>
      <c r="K27" s="368">
        <v>0.01441471504504247</v>
      </c>
    </row>
    <row r="28">
      <c r="A28" s="7">
        <v>42675.0</v>
      </c>
      <c r="B28" s="199">
        <v>44593.189999999995</v>
      </c>
      <c r="C28" s="199">
        <v>0.0</v>
      </c>
      <c r="D28" s="199">
        <v>44593.189999999995</v>
      </c>
      <c r="E28" s="368">
        <v>0.0</v>
      </c>
      <c r="F28" s="199">
        <v>0.0</v>
      </c>
      <c r="G28" s="199">
        <v>0.0</v>
      </c>
      <c r="H28" s="33">
        <v>0.0</v>
      </c>
      <c r="I28" s="199">
        <v>4.57</v>
      </c>
      <c r="J28" s="199">
        <v>43.931306603316905</v>
      </c>
      <c r="K28" s="368">
        <v>0.011821887585073031</v>
      </c>
    </row>
    <row r="29">
      <c r="A29" s="7">
        <v>42644.0</v>
      </c>
      <c r="B29" s="199">
        <v>44588.95</v>
      </c>
      <c r="C29" s="199">
        <v>0.0</v>
      </c>
      <c r="D29" s="199">
        <v>44588.95</v>
      </c>
      <c r="E29" s="368">
        <v>0.0</v>
      </c>
      <c r="F29" s="199">
        <v>0.0</v>
      </c>
      <c r="G29" s="199">
        <v>0.0</v>
      </c>
      <c r="H29" s="33">
        <v>0.0</v>
      </c>
      <c r="I29" s="199">
        <v>4.4</v>
      </c>
      <c r="J29" s="199">
        <v>44.69734044340888</v>
      </c>
      <c r="K29" s="368">
        <v>0.012029170575241326</v>
      </c>
    </row>
    <row r="30">
      <c r="A30" s="7">
        <v>42614.0</v>
      </c>
      <c r="B30" s="199">
        <v>44469.28999999999</v>
      </c>
      <c r="C30" s="199">
        <v>0.0</v>
      </c>
      <c r="D30" s="199">
        <v>44469.28999999999</v>
      </c>
      <c r="E30" s="368">
        <v>0.0</v>
      </c>
      <c r="F30" s="199">
        <v>0.0</v>
      </c>
      <c r="G30" s="199">
        <v>0.0</v>
      </c>
      <c r="H30" s="33">
        <v>0.0</v>
      </c>
      <c r="I30" s="199">
        <v>119.66</v>
      </c>
      <c r="J30" s="199">
        <v>48.54974682878164</v>
      </c>
      <c r="K30" s="368">
        <v>0.013101107796984836</v>
      </c>
    </row>
    <row r="31">
      <c r="A31" s="7">
        <v>42583.0</v>
      </c>
      <c r="B31" s="199">
        <v>44464.59</v>
      </c>
      <c r="C31" s="199">
        <v>0.0</v>
      </c>
      <c r="D31" s="199">
        <v>44464.59</v>
      </c>
      <c r="E31" s="368">
        <v>0.0</v>
      </c>
      <c r="F31" s="199">
        <v>0.0</v>
      </c>
      <c r="G31" s="199">
        <v>0.0</v>
      </c>
      <c r="H31" s="33">
        <v>0.0</v>
      </c>
      <c r="I31" s="199">
        <v>4.7</v>
      </c>
      <c r="J31" s="199">
        <v>40.76909989766055</v>
      </c>
      <c r="K31" s="368">
        <v>0.011002669737243202</v>
      </c>
    </row>
    <row r="32">
      <c r="A32" s="7">
        <v>42552.0</v>
      </c>
      <c r="B32" s="199">
        <v>44460.07</v>
      </c>
      <c r="C32" s="199">
        <v>0.0</v>
      </c>
      <c r="D32" s="199">
        <v>44460.07</v>
      </c>
      <c r="E32" s="368">
        <v>0.0</v>
      </c>
      <c r="F32" s="199">
        <v>0.0</v>
      </c>
      <c r="G32" s="199">
        <v>0.0</v>
      </c>
      <c r="H32" s="33">
        <v>0.0</v>
      </c>
      <c r="I32" s="199">
        <v>4.69</v>
      </c>
      <c r="J32" s="199">
        <v>45.19265752507916</v>
      </c>
      <c r="K32" s="368">
        <v>0.01219772911515771</v>
      </c>
    </row>
    <row r="33">
      <c r="A33" s="7">
        <v>42522.0</v>
      </c>
      <c r="B33" s="199">
        <v>44371.69</v>
      </c>
      <c r="C33" s="199">
        <v>0.0</v>
      </c>
      <c r="D33" s="199">
        <v>44371.69</v>
      </c>
      <c r="E33" s="368">
        <v>0.0</v>
      </c>
      <c r="F33" s="199">
        <v>0.0</v>
      </c>
      <c r="G33" s="199">
        <v>0.0</v>
      </c>
      <c r="H33" s="33">
        <v>0.0</v>
      </c>
      <c r="I33" s="199">
        <v>88.38</v>
      </c>
      <c r="J33" s="199">
        <v>50.75924667311466</v>
      </c>
      <c r="K33" s="368">
        <v>0.013727468123873033</v>
      </c>
    </row>
    <row r="34">
      <c r="A34" s="7">
        <v>42491.0</v>
      </c>
      <c r="B34" s="199">
        <v>44367.04</v>
      </c>
      <c r="C34" s="199">
        <v>0.0</v>
      </c>
      <c r="D34" s="199">
        <v>44367.04</v>
      </c>
      <c r="E34" s="368">
        <v>0.0</v>
      </c>
      <c r="F34" s="199">
        <v>0.0</v>
      </c>
      <c r="G34" s="199">
        <v>0.0</v>
      </c>
      <c r="H34" s="33">
        <v>0.0</v>
      </c>
      <c r="I34" s="199">
        <v>4.65</v>
      </c>
      <c r="J34" s="199">
        <v>44.64776681037354</v>
      </c>
      <c r="K34" s="368">
        <v>0.01207592847583437</v>
      </c>
    </row>
    <row r="35">
      <c r="A35" s="7">
        <v>42461.0</v>
      </c>
      <c r="B35" s="199">
        <v>39141.13</v>
      </c>
      <c r="C35" s="199">
        <v>0.0</v>
      </c>
      <c r="D35" s="199">
        <v>39141.13</v>
      </c>
      <c r="E35" s="368">
        <v>0.0</v>
      </c>
      <c r="F35" s="199">
        <v>0.0</v>
      </c>
      <c r="G35" s="199">
        <v>0.0</v>
      </c>
      <c r="H35" s="33">
        <v>0.0</v>
      </c>
      <c r="I35" s="199">
        <v>4.08</v>
      </c>
      <c r="J35" s="199">
        <v>46.22578393313017</v>
      </c>
      <c r="K35" s="368">
        <v>0.014172033541125718</v>
      </c>
    </row>
    <row r="36">
      <c r="A36" s="7">
        <v>42430.0</v>
      </c>
      <c r="B36" s="199">
        <v>39071.869999999995</v>
      </c>
      <c r="C36" s="199">
        <v>0.0</v>
      </c>
      <c r="D36" s="199">
        <v>39071.869999999995</v>
      </c>
      <c r="E36" s="368">
        <v>0.0</v>
      </c>
      <c r="F36" s="199">
        <v>0.0</v>
      </c>
      <c r="G36" s="199">
        <v>0.0</v>
      </c>
      <c r="H36" s="33">
        <v>0.0</v>
      </c>
      <c r="I36" s="199">
        <v>69.26</v>
      </c>
      <c r="J36" s="199">
        <v>54.81810883868626</v>
      </c>
      <c r="K36" s="368">
        <v>0.016836084529976047</v>
      </c>
    </row>
    <row r="37">
      <c r="A37" s="7">
        <v>42401.0</v>
      </c>
      <c r="B37" s="199">
        <v>39067.95</v>
      </c>
      <c r="C37" s="199">
        <v>0.0</v>
      </c>
      <c r="D37" s="199">
        <v>39067.95</v>
      </c>
      <c r="E37" s="368">
        <v>0.0</v>
      </c>
      <c r="F37" s="199">
        <v>0.0</v>
      </c>
      <c r="G37" s="199">
        <v>0.0</v>
      </c>
      <c r="H37" s="33">
        <v>0.0</v>
      </c>
      <c r="I37" s="199">
        <v>3.92</v>
      </c>
      <c r="J37" s="199">
        <v>51.07039443824406</v>
      </c>
      <c r="K37" s="368">
        <v>0.015686636571894064</v>
      </c>
    </row>
    <row r="38">
      <c r="A38" s="7">
        <v>42370.0</v>
      </c>
      <c r="B38" s="199">
        <v>38883.189999999995</v>
      </c>
      <c r="C38" s="199">
        <v>0.0</v>
      </c>
      <c r="D38" s="199">
        <v>38883.189999999995</v>
      </c>
      <c r="E38" s="368">
        <v>0.0</v>
      </c>
      <c r="F38" s="199">
        <v>0.0</v>
      </c>
      <c r="G38" s="199">
        <v>0.0</v>
      </c>
      <c r="H38" s="33">
        <v>0.0</v>
      </c>
      <c r="I38" s="199">
        <v>184.98</v>
      </c>
      <c r="J38" s="199">
        <v>67.24174652885766</v>
      </c>
      <c r="K38" s="368">
        <v>0.020751922832110532</v>
      </c>
    </row>
    <row r="39">
      <c r="A39" s="7">
        <v>42339.0</v>
      </c>
      <c r="B39" s="199">
        <v>37404.88</v>
      </c>
      <c r="C39" s="199">
        <v>0.0</v>
      </c>
      <c r="D39" s="199">
        <v>37404.88</v>
      </c>
      <c r="E39" s="368">
        <v>0.0</v>
      </c>
      <c r="F39" s="199">
        <v>0.0</v>
      </c>
      <c r="G39" s="199">
        <v>0.0</v>
      </c>
      <c r="H39" s="33">
        <v>0.0</v>
      </c>
      <c r="I39" s="199">
        <v>4.1</v>
      </c>
      <c r="J39" s="199">
        <v>4.206937744329348</v>
      </c>
      <c r="K39" s="368">
        <v>0.0013496434938957745</v>
      </c>
    </row>
    <row r="40">
      <c r="A40" s="7">
        <v>42309.0</v>
      </c>
      <c r="B40" s="199">
        <v>35414.35</v>
      </c>
      <c r="C40" s="199">
        <v>0.0</v>
      </c>
      <c r="D40" s="199">
        <v>35414.35</v>
      </c>
      <c r="E40" s="368">
        <v>0.0</v>
      </c>
      <c r="F40" s="199">
        <v>0.0</v>
      </c>
      <c r="G40" s="199">
        <v>0.0</v>
      </c>
      <c r="H40" s="33">
        <v>0.0</v>
      </c>
      <c r="I40" s="199">
        <v>4.09</v>
      </c>
      <c r="J40" s="199">
        <v>4.09</v>
      </c>
      <c r="K40" s="368">
        <v>0.0013858788880778553</v>
      </c>
    </row>
  </sheetData>
  <conditionalFormatting sqref="G1:G40">
    <cfRule type="expression" dxfId="19" priority="1">
      <formula>H1=""</formula>
    </cfRule>
  </conditionalFormatting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sheetData>
    <row r="1">
      <c r="A1" s="3" t="s">
        <v>239</v>
      </c>
      <c r="B1" s="3" t="s">
        <v>1343</v>
      </c>
      <c r="C1" s="3" t="s">
        <v>17</v>
      </c>
      <c r="D1" s="3" t="s">
        <v>255</v>
      </c>
    </row>
    <row r="2">
      <c r="A2" s="1" t="s">
        <v>1344</v>
      </c>
      <c r="B2" s="372">
        <v>-15089.421875</v>
      </c>
      <c r="C2" s="59">
        <f t="array" ref="C2">INDEX(Boubou!$B:$B,2)-INDEX(Boubou!$E:$E,2)</f>
        <v>0</v>
      </c>
      <c r="D2" s="351">
        <f>B2+C2</f>
        <v>-15089.42188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3" width="11.86"/>
    <col customWidth="1" min="4" max="4" width="8.43"/>
    <col customWidth="1" min="5" max="5" width="12.0"/>
  </cols>
  <sheetData>
    <row r="1">
      <c r="A1" s="19" t="s">
        <v>27</v>
      </c>
      <c r="B1" s="17" t="s">
        <v>50</v>
      </c>
      <c r="C1" s="17" t="s">
        <v>18</v>
      </c>
      <c r="D1" s="17" t="s">
        <v>1345</v>
      </c>
      <c r="E1" s="17" t="s">
        <v>255</v>
      </c>
    </row>
    <row r="2">
      <c r="A2" s="7">
        <v>43466.0</v>
      </c>
      <c r="B2" s="199">
        <v>16089.421875</v>
      </c>
      <c r="C2" s="368">
        <v>0.0075</v>
      </c>
      <c r="D2" s="199">
        <v>83.171875</v>
      </c>
      <c r="E2" s="199">
        <v>16089.421875</v>
      </c>
    </row>
    <row r="3">
      <c r="A3" s="7">
        <v>43435.0</v>
      </c>
      <c r="B3" s="199">
        <v>17006.25</v>
      </c>
      <c r="C3" s="368">
        <v>0.0075</v>
      </c>
      <c r="D3" s="199">
        <v>73.16796875</v>
      </c>
      <c r="E3" s="199">
        <v>17079.41796875</v>
      </c>
    </row>
    <row r="4">
      <c r="A4" s="7">
        <v>43405.0</v>
      </c>
      <c r="B4" s="199">
        <v>17006.25</v>
      </c>
      <c r="C4" s="368">
        <v>0.0075</v>
      </c>
      <c r="D4" s="199">
        <v>62.5390625</v>
      </c>
      <c r="E4" s="199">
        <v>17068.7890625</v>
      </c>
    </row>
    <row r="5">
      <c r="A5" s="7">
        <v>43374.0</v>
      </c>
      <c r="B5" s="199">
        <v>10006.25</v>
      </c>
      <c r="C5" s="368">
        <v>0.0075</v>
      </c>
      <c r="D5" s="199">
        <v>56.28515625</v>
      </c>
      <c r="E5" s="199">
        <v>10062.53515625</v>
      </c>
    </row>
    <row r="6">
      <c r="A6" s="7">
        <v>43344.0</v>
      </c>
      <c r="B6" s="199">
        <v>10006.25</v>
      </c>
      <c r="C6" s="368">
        <v>0.0075</v>
      </c>
      <c r="D6" s="199">
        <v>50.03125</v>
      </c>
      <c r="E6" s="199">
        <v>10056.28125</v>
      </c>
    </row>
    <row r="7">
      <c r="A7" s="7">
        <v>43313.0</v>
      </c>
      <c r="B7" s="199">
        <v>10006.25</v>
      </c>
      <c r="C7" s="368">
        <v>0.0075</v>
      </c>
      <c r="D7" s="199">
        <v>43.77734375</v>
      </c>
      <c r="E7" s="199">
        <v>10050.02734375</v>
      </c>
    </row>
    <row r="8">
      <c r="A8" s="7">
        <v>43282.0</v>
      </c>
      <c r="B8" s="199">
        <v>10006.25</v>
      </c>
      <c r="C8" s="368">
        <v>0.0075</v>
      </c>
      <c r="D8" s="199">
        <v>37.5234375</v>
      </c>
      <c r="E8" s="199">
        <v>10043.7734375</v>
      </c>
    </row>
    <row r="9">
      <c r="A9" s="7">
        <v>43252.0</v>
      </c>
      <c r="B9" s="199">
        <v>10006.25</v>
      </c>
      <c r="C9" s="368">
        <v>0.0075</v>
      </c>
      <c r="D9" s="199">
        <v>31.26953125</v>
      </c>
      <c r="E9" s="199">
        <v>10037.51953125</v>
      </c>
    </row>
    <row r="10">
      <c r="A10" s="7">
        <v>43221.0</v>
      </c>
      <c r="B10" s="199">
        <v>10006.25</v>
      </c>
      <c r="C10" s="368">
        <v>0.0075</v>
      </c>
      <c r="D10" s="199">
        <v>25.015625</v>
      </c>
      <c r="E10" s="199">
        <v>10031.265625</v>
      </c>
    </row>
    <row r="11">
      <c r="A11" s="7">
        <v>43191.0</v>
      </c>
      <c r="B11" s="199">
        <v>10006.25</v>
      </c>
      <c r="C11" s="368">
        <v>0.0075</v>
      </c>
      <c r="D11" s="199">
        <v>18.76171875</v>
      </c>
      <c r="E11" s="199">
        <v>10025.01171875</v>
      </c>
    </row>
    <row r="12">
      <c r="A12" s="7">
        <v>43160.0</v>
      </c>
      <c r="B12" s="199">
        <v>10006.25</v>
      </c>
      <c r="C12" s="368">
        <v>0.0075</v>
      </c>
      <c r="D12" s="199">
        <v>12.5078125</v>
      </c>
      <c r="E12" s="199">
        <v>10018.7578125</v>
      </c>
    </row>
    <row r="13">
      <c r="A13" s="7">
        <v>43132.0</v>
      </c>
      <c r="B13" s="199">
        <v>10006.25</v>
      </c>
      <c r="C13" s="368">
        <v>0.0075</v>
      </c>
      <c r="D13" s="199">
        <v>6.25390625</v>
      </c>
      <c r="E13" s="199">
        <v>10012.50390625</v>
      </c>
    </row>
    <row r="14">
      <c r="A14" s="7">
        <v>43101.0</v>
      </c>
      <c r="B14" s="199">
        <v>10006.25</v>
      </c>
      <c r="C14" s="368">
        <v>0.0075</v>
      </c>
      <c r="D14" s="199">
        <v>6.25</v>
      </c>
      <c r="E14" s="199">
        <v>10006.25</v>
      </c>
    </row>
    <row r="15">
      <c r="A15" s="7">
        <v>43070.0</v>
      </c>
      <c r="B15" s="199">
        <v>10000.0</v>
      </c>
      <c r="C15" s="368">
        <v>0.0075</v>
      </c>
      <c r="D15" s="199">
        <v>0.0</v>
      </c>
      <c r="E15" s="199">
        <v>10000.0</v>
      </c>
    </row>
  </sheetData>
  <drawing r:id="rId2"/>
  <legacyDrawing r:id="rId3"/>
</worksheet>
</file>